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525" windowWidth="14805" windowHeight="7590"/>
  </bookViews>
  <sheets>
    <sheet name="кор от 26.09.12" sheetId="5" r:id="rId1"/>
  </sheets>
  <externalReferences>
    <externalReference r:id="rId2"/>
  </externalReferences>
  <definedNames>
    <definedName name="_xlnm.Print_Titles" localSheetId="0">'кор от 26.09.12'!$16:$16</definedName>
  </definedNames>
  <calcPr calcId="145621" iterateDelta="1E-4"/>
</workbook>
</file>

<file path=xl/calcChain.xml><?xml version="1.0" encoding="utf-8"?>
<calcChain xmlns="http://schemas.openxmlformats.org/spreadsheetml/2006/main">
  <c r="A280" i="5" l="1"/>
  <c r="A279" i="5"/>
  <c r="A278" i="5" l="1"/>
  <c r="A277" i="5"/>
  <c r="K278" i="5"/>
  <c r="A19" i="5" l="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18" i="5"/>
  <c r="K17" i="5"/>
  <c r="K18" i="5"/>
  <c r="H19" i="5"/>
  <c r="K19" i="5"/>
  <c r="K20" i="5"/>
  <c r="H22" i="5"/>
  <c r="K22" i="5"/>
  <c r="H23" i="5"/>
  <c r="K23" i="5"/>
  <c r="H24" i="5"/>
  <c r="K24" i="5"/>
  <c r="H25" i="5"/>
  <c r="K25" i="5"/>
  <c r="K26" i="5"/>
  <c r="H27" i="5"/>
  <c r="K27" i="5"/>
  <c r="K29" i="5"/>
  <c r="K28" i="5" s="1"/>
  <c r="K40" i="5"/>
  <c r="K42" i="5"/>
  <c r="H43" i="5"/>
  <c r="K43" i="5"/>
  <c r="H83" i="5"/>
  <c r="K83" i="5"/>
  <c r="H106" i="5"/>
  <c r="H112" i="5"/>
  <c r="K112" i="5"/>
  <c r="K113" i="5"/>
  <c r="K114" i="5"/>
  <c r="H115" i="5"/>
  <c r="K115" i="5"/>
  <c r="K116" i="5"/>
  <c r="H117" i="5"/>
  <c r="K117" i="5"/>
  <c r="H121" i="5"/>
  <c r="K121" i="5"/>
  <c r="K122" i="5"/>
  <c r="H123" i="5"/>
  <c r="K123" i="5"/>
  <c r="K124" i="5"/>
  <c r="H125" i="5"/>
  <c r="K125" i="5"/>
  <c r="H126" i="5"/>
  <c r="K126" i="5"/>
  <c r="H127" i="5"/>
  <c r="K127" i="5"/>
  <c r="H128" i="5"/>
  <c r="K128" i="5"/>
  <c r="H129" i="5"/>
  <c r="K129" i="5"/>
  <c r="H130" i="5"/>
  <c r="K130" i="5"/>
  <c r="H131" i="5"/>
  <c r="K131" i="5"/>
  <c r="K132" i="5"/>
  <c r="H133" i="5"/>
  <c r="K133" i="5"/>
  <c r="H134" i="5"/>
  <c r="K134" i="5"/>
  <c r="K135" i="5"/>
  <c r="H136" i="5"/>
  <c r="K136" i="5"/>
  <c r="K137" i="5"/>
  <c r="H138" i="5"/>
  <c r="K138" i="5"/>
  <c r="H139" i="5"/>
  <c r="K139" i="5"/>
  <c r="H140" i="5"/>
  <c r="K140" i="5"/>
  <c r="K141" i="5"/>
  <c r="K142" i="5"/>
  <c r="H143" i="5"/>
  <c r="K143" i="5"/>
  <c r="H144" i="5"/>
  <c r="K144" i="5"/>
  <c r="K145" i="5"/>
  <c r="K146" i="5"/>
  <c r="K147" i="5"/>
  <c r="H148" i="5"/>
  <c r="K148" i="5"/>
  <c r="K149" i="5"/>
  <c r="H150" i="5"/>
  <c r="K150" i="5"/>
  <c r="K151" i="5"/>
  <c r="H152" i="5"/>
  <c r="K152" i="5"/>
  <c r="H153" i="5"/>
  <c r="K153" i="5"/>
  <c r="K154" i="5"/>
  <c r="H155" i="5"/>
  <c r="K155" i="5"/>
  <c r="H156" i="5"/>
  <c r="K156" i="5"/>
  <c r="K157" i="5"/>
  <c r="H158" i="5"/>
  <c r="K158" i="5"/>
  <c r="H159" i="5"/>
  <c r="K159" i="5"/>
  <c r="K160" i="5"/>
  <c r="H161" i="5"/>
  <c r="K161" i="5"/>
  <c r="H162" i="5"/>
  <c r="K162" i="5"/>
  <c r="H163" i="5"/>
  <c r="K163" i="5"/>
  <c r="H164" i="5"/>
  <c r="K164" i="5"/>
  <c r="H165" i="5"/>
  <c r="K165" i="5"/>
  <c r="K166" i="5"/>
  <c r="K167" i="5"/>
  <c r="K168" i="5"/>
  <c r="H169" i="5"/>
  <c r="K169" i="5"/>
  <c r="H170" i="5"/>
  <c r="K170" i="5"/>
  <c r="K171" i="5"/>
  <c r="K172" i="5"/>
  <c r="K173" i="5"/>
  <c r="K174" i="5"/>
  <c r="H175" i="5"/>
  <c r="K175" i="5"/>
  <c r="K176" i="5"/>
  <c r="K177" i="5"/>
  <c r="H178" i="5"/>
  <c r="K178" i="5"/>
  <c r="H179" i="5"/>
  <c r="K179" i="5"/>
  <c r="K180" i="5"/>
  <c r="K181" i="5"/>
  <c r="K182" i="5"/>
  <c r="H183" i="5"/>
  <c r="K183" i="5"/>
  <c r="K184" i="5"/>
  <c r="H185" i="5"/>
  <c r="K185" i="5"/>
  <c r="K186" i="5"/>
  <c r="H187" i="5"/>
  <c r="K187" i="5"/>
  <c r="K188" i="5"/>
  <c r="H189" i="5"/>
  <c r="K189" i="5"/>
  <c r="H190" i="5"/>
  <c r="K190" i="5"/>
  <c r="H191" i="5"/>
  <c r="K191" i="5"/>
  <c r="H192" i="5"/>
  <c r="K192" i="5"/>
  <c r="H193" i="5"/>
  <c r="K193" i="5"/>
  <c r="K194" i="5"/>
  <c r="H195" i="5"/>
  <c r="K195" i="5"/>
  <c r="K196" i="5"/>
  <c r="H197" i="5"/>
  <c r="K197" i="5"/>
  <c r="H198" i="5"/>
  <c r="K198" i="5"/>
  <c r="H199" i="5"/>
  <c r="K199" i="5"/>
  <c r="K200" i="5"/>
  <c r="K201" i="5"/>
  <c r="K202" i="5"/>
  <c r="K203" i="5"/>
  <c r="H204" i="5"/>
  <c r="K204" i="5"/>
  <c r="H205" i="5"/>
  <c r="K205" i="5"/>
  <c r="H206" i="5"/>
  <c r="K206" i="5"/>
  <c r="H207" i="5"/>
  <c r="K207" i="5"/>
  <c r="H208" i="5"/>
  <c r="K208" i="5"/>
  <c r="K209" i="5"/>
  <c r="H210" i="5"/>
  <c r="K210" i="5"/>
  <c r="H211" i="5"/>
  <c r="K211" i="5"/>
  <c r="K212" i="5"/>
  <c r="K213" i="5"/>
  <c r="H214" i="5"/>
  <c r="K214" i="5"/>
  <c r="H215" i="5"/>
  <c r="K215" i="5"/>
  <c r="H216" i="5"/>
  <c r="K216" i="5"/>
  <c r="H217" i="5"/>
  <c r="K217" i="5"/>
  <c r="H218" i="5"/>
  <c r="K218" i="5"/>
  <c r="H219" i="5"/>
  <c r="K219" i="5"/>
  <c r="H220" i="5"/>
  <c r="K220" i="5"/>
  <c r="K221" i="5"/>
  <c r="H222" i="5"/>
  <c r="K222" i="5"/>
  <c r="K223" i="5"/>
  <c r="H224" i="5"/>
  <c r="K224" i="5"/>
  <c r="H225" i="5"/>
  <c r="K225" i="5"/>
  <c r="K226" i="5"/>
  <c r="K227" i="5"/>
  <c r="K228" i="5"/>
  <c r="H229" i="5"/>
  <c r="K229" i="5"/>
  <c r="H230" i="5"/>
  <c r="K230" i="5"/>
  <c r="H231" i="5"/>
  <c r="K231" i="5"/>
  <c r="H232" i="5"/>
  <c r="K232" i="5"/>
  <c r="K233" i="5"/>
  <c r="K234" i="5"/>
  <c r="K235" i="5"/>
  <c r="K236" i="5"/>
  <c r="K237" i="5"/>
  <c r="H238" i="5"/>
  <c r="K238" i="5"/>
  <c r="K239" i="5"/>
  <c r="K240" i="5"/>
  <c r="K241" i="5"/>
  <c r="K242" i="5"/>
  <c r="K243" i="5"/>
  <c r="K244" i="5"/>
  <c r="H245" i="5"/>
  <c r="K245" i="5"/>
  <c r="H246" i="5"/>
  <c r="K246" i="5"/>
  <c r="H247" i="5"/>
  <c r="K247" i="5"/>
  <c r="K248" i="5"/>
  <c r="K249" i="5"/>
  <c r="H250" i="5"/>
  <c r="K250" i="5"/>
  <c r="K251" i="5"/>
  <c r="H252" i="5"/>
  <c r="K252" i="5"/>
  <c r="K253" i="5"/>
  <c r="K254" i="5"/>
  <c r="H255" i="5"/>
  <c r="K255" i="5"/>
  <c r="H256" i="5"/>
  <c r="K256" i="5"/>
  <c r="H257" i="5"/>
  <c r="K257" i="5"/>
  <c r="H258" i="5"/>
  <c r="K258" i="5"/>
  <c r="H259" i="5"/>
  <c r="K259" i="5"/>
  <c r="K260" i="5"/>
  <c r="K261" i="5"/>
  <c r="H262" i="5"/>
  <c r="K262" i="5"/>
  <c r="K263" i="5"/>
  <c r="K264" i="5"/>
  <c r="K265" i="5"/>
  <c r="K266" i="5"/>
  <c r="H267" i="5"/>
  <c r="K267" i="5"/>
  <c r="H268" i="5"/>
  <c r="K268" i="5"/>
  <c r="K269" i="5"/>
  <c r="H270" i="5"/>
  <c r="K270" i="5"/>
  <c r="K271" i="5"/>
  <c r="K272" i="5"/>
  <c r="H273" i="5"/>
  <c r="K273" i="5"/>
  <c r="K274" i="5"/>
  <c r="K275" i="5"/>
  <c r="K276" i="5"/>
  <c r="K277" i="5"/>
</calcChain>
</file>

<file path=xl/comments1.xml><?xml version="1.0" encoding="utf-8"?>
<comments xmlns="http://schemas.openxmlformats.org/spreadsheetml/2006/main">
  <authors>
    <author>Автор</author>
  </authors>
  <commentList>
    <comment ref="H21" authorId="0">
      <text>
        <r>
          <rPr>
            <b/>
            <sz val="10"/>
            <color indexed="81"/>
            <rFont val="Tahoma"/>
            <family val="2"/>
            <charset val="204"/>
          </rPr>
          <t>Автор:</t>
        </r>
        <r>
          <rPr>
            <sz val="10"/>
            <color indexed="81"/>
            <rFont val="Tahoma"/>
            <family val="2"/>
            <charset val="204"/>
          </rPr>
          <t xml:space="preserve">
Настюша</t>
        </r>
      </text>
    </comment>
    <comment ref="H22" authorId="0">
      <text>
        <r>
          <rPr>
            <b/>
            <sz val="10"/>
            <color indexed="81"/>
            <rFont val="Tahoma"/>
            <family val="2"/>
            <charset val="204"/>
          </rPr>
          <t>Автор:</t>
        </r>
        <r>
          <rPr>
            <sz val="10"/>
            <color indexed="81"/>
            <rFont val="Tahoma"/>
            <family val="2"/>
            <charset val="204"/>
          </rPr>
          <t xml:space="preserve">
агрокомплекс</t>
        </r>
      </text>
    </comment>
    <comment ref="H23" authorId="0">
      <text>
        <r>
          <rPr>
            <b/>
            <sz val="10"/>
            <color indexed="81"/>
            <rFont val="Tahoma"/>
            <family val="2"/>
            <charset val="204"/>
          </rPr>
          <t>Автор:</t>
        </r>
        <r>
          <rPr>
            <sz val="10"/>
            <color indexed="81"/>
            <rFont val="Tahoma"/>
            <family val="2"/>
            <charset val="204"/>
          </rPr>
          <t xml:space="preserve">
сахзавод</t>
        </r>
      </text>
    </comment>
    <comment ref="H24" authorId="0">
      <text>
        <r>
          <rPr>
            <b/>
            <sz val="10"/>
            <color indexed="81"/>
            <rFont val="Tahoma"/>
            <family val="2"/>
            <charset val="204"/>
          </rPr>
          <t>Автор:</t>
        </r>
        <r>
          <rPr>
            <sz val="10"/>
            <color indexed="81"/>
            <rFont val="Tahoma"/>
            <family val="2"/>
            <charset val="204"/>
          </rPr>
          <t xml:space="preserve">
село</t>
        </r>
      </text>
    </comment>
    <comment ref="H25" authorId="0">
      <text>
        <r>
          <rPr>
            <b/>
            <sz val="10"/>
            <color indexed="81"/>
            <rFont val="Tahoma"/>
            <family val="2"/>
            <charset val="204"/>
          </rPr>
          <t>Автор:</t>
        </r>
        <r>
          <rPr>
            <sz val="10"/>
            <color indexed="81"/>
            <rFont val="Tahoma"/>
            <family val="2"/>
            <charset val="204"/>
          </rPr>
          <t xml:space="preserve">
город
</t>
        </r>
      </text>
    </comment>
    <comment ref="K26" authorId="0">
      <text>
        <r>
          <rPr>
            <b/>
            <sz val="10"/>
            <color indexed="81"/>
            <rFont val="Tahoma"/>
            <family val="2"/>
            <charset val="204"/>
          </rPr>
          <t>Автор:</t>
        </r>
        <r>
          <rPr>
            <sz val="10"/>
            <color indexed="81"/>
            <rFont val="Tahoma"/>
            <family val="2"/>
            <charset val="204"/>
          </rPr>
          <t xml:space="preserve">
учтены кристалл и чист.город с октября2012 по декабрь 2013
</t>
        </r>
      </text>
    </comment>
    <comment ref="H106" authorId="0">
      <text>
        <r>
          <rPr>
            <b/>
            <sz val="10"/>
            <color indexed="81"/>
            <rFont val="Tahoma"/>
            <family val="2"/>
            <charset val="204"/>
          </rPr>
          <t>Автор:</t>
        </r>
        <r>
          <rPr>
            <sz val="10"/>
            <color indexed="81"/>
            <rFont val="Tahoma"/>
            <family val="2"/>
            <charset val="204"/>
          </rPr>
          <t xml:space="preserve">
спец. В шт,мыло в кг</t>
        </r>
      </text>
    </comment>
  </commentList>
</comments>
</file>

<file path=xl/sharedStrings.xml><?xml version="1.0" encoding="utf-8"?>
<sst xmlns="http://schemas.openxmlformats.org/spreadsheetml/2006/main" count="2192" uniqueCount="461">
  <si>
    <t>Условия договора</t>
  </si>
  <si>
    <t>Ед. измерения</t>
  </si>
  <si>
    <t>Сведения о количестве (обьеме)</t>
  </si>
  <si>
    <t>График осуществления процедур закупки</t>
  </si>
  <si>
    <t>Планирумая дата или период резмещения извещения о закупке (месяц, год)</t>
  </si>
  <si>
    <t>Срок исполнения договора (месяц, год)</t>
  </si>
  <si>
    <t>Наименование заказчика</t>
  </si>
  <si>
    <t>ИНН</t>
  </si>
  <si>
    <t>ОКАТО</t>
  </si>
  <si>
    <t>шт.</t>
  </si>
  <si>
    <t>29.13</t>
  </si>
  <si>
    <t>29.12</t>
  </si>
  <si>
    <t>-</t>
  </si>
  <si>
    <t>м2</t>
  </si>
  <si>
    <t>34.2</t>
  </si>
  <si>
    <t>шт</t>
  </si>
  <si>
    <t>25.24.2</t>
  </si>
  <si>
    <t>тн</t>
  </si>
  <si>
    <t>25.21</t>
  </si>
  <si>
    <t>м</t>
  </si>
  <si>
    <t>18.21</t>
  </si>
  <si>
    <t xml:space="preserve">Спецодежда (костюмы, сапоги, ботинки, плащи, жилеты,халатыц, рукавицы, перчатки и тд)  </t>
  </si>
  <si>
    <t xml:space="preserve">                                                                                                                                                           (подпись)                                         (дата утверждения)</t>
  </si>
  <si>
    <t xml:space="preserve">    </t>
  </si>
  <si>
    <t xml:space="preserve">                                                                                                                        МП</t>
  </si>
  <si>
    <t>ПЛАН ЗАКУПКИ ТОВАРОВ, РАБОТ, УСЛУГ ДЛЯ НУЖД ООО "ВОДОКАНАЛ"</t>
  </si>
  <si>
    <t>Общество с ограниченной ответственностью "Водоканал"</t>
  </si>
  <si>
    <t>399057 Россия, Липецкая область, г. Грязи, ул.Песковатская, д.17</t>
  </si>
  <si>
    <t>час</t>
  </si>
  <si>
    <t xml:space="preserve">Оказание услуг по обеспечению охраны объектов и материальных ценностей с помощью системы централизованного наблюдения с выездом группы задержания по сигналам «Тревога» </t>
  </si>
  <si>
    <t>Россия, Липецкая область, г. Грязи</t>
  </si>
  <si>
    <t>75.24.1</t>
  </si>
  <si>
    <t>75.24.2</t>
  </si>
  <si>
    <t>Техническое обслуживание комплекса технических средств охраны</t>
  </si>
  <si>
    <r>
      <t xml:space="preserve"> Наличие действующей лицензии на осуществление охранной деятельности. </t>
    </r>
    <r>
      <rPr>
        <b/>
        <sz val="7"/>
        <rFont val="Times New Roman"/>
        <family val="1"/>
        <charset val="204"/>
      </rPr>
      <t xml:space="preserve">Соблюдение качественных характеристик оказываемых услуг  Исполнителем на протяжении всего срока действия контракта. </t>
    </r>
  </si>
  <si>
    <r>
      <t xml:space="preserve"> Наличие действующей лицензии . </t>
    </r>
    <r>
      <rPr>
        <b/>
        <sz val="7"/>
        <rFont val="Times New Roman"/>
        <family val="1"/>
        <charset val="204"/>
      </rPr>
      <t xml:space="preserve">Соблюдение качественных характеристик оказываемых услуг  Исполнителем на протяжении всего срока действия контракта. </t>
    </r>
  </si>
  <si>
    <t xml:space="preserve">Договор энергоснабжения </t>
  </si>
  <si>
    <t>Обеспечение электроэнергией в полном объеме согласно заключенному договору энергоснабжения</t>
  </si>
  <si>
    <t>кВт</t>
  </si>
  <si>
    <t>40.10.3</t>
  </si>
  <si>
    <t>Обеспечение  в полном объеме согласно заключенному договору теплоснабжения</t>
  </si>
  <si>
    <t>Гкал</t>
  </si>
  <si>
    <t xml:space="preserve">Договор теплоснабжения </t>
  </si>
  <si>
    <t>40.30.2</t>
  </si>
  <si>
    <t>Обеспечение  в полном объеме согласно заключенному договору газоснабжения</t>
  </si>
  <si>
    <t>Поставка газа</t>
  </si>
  <si>
    <t>40.20.2</t>
  </si>
  <si>
    <t xml:space="preserve">Договор оказания общедоступных услуг связи </t>
  </si>
  <si>
    <t xml:space="preserve">Обеспечение  в полном объеме согласно заключенному договору </t>
  </si>
  <si>
    <t>64.20.11</t>
  </si>
  <si>
    <t>50.20</t>
  </si>
  <si>
    <t>Оказание услуг должно соответствовать требованиям, установленным для такого вида услуг настоящим законодательством Российской Федерации нормативными правовыми актами, сертификатами, стандартами, требованиями завода-изготовителя автомобиля, технической  и другой документацией.</t>
  </si>
  <si>
    <t>запрос котировок</t>
  </si>
  <si>
    <t>декабрь 2013г.</t>
  </si>
  <si>
    <t>ноябрь 2012г.</t>
  </si>
  <si>
    <t>52.48</t>
  </si>
  <si>
    <t>Товар должен быть новый (не перезаправленный, не восстановленный, не отремонтированный), оригинального производства, сертифицирован, не иметь дефектов, связанных с конструкцией, материалами или функционированием в процессе эксплуатации. Картриджи должны полностью отрабатывать заявленный производителем ресурс. При эксплуатации картриджи не должны приводить к поломке оборудования, в котором они эксплуатируются.</t>
  </si>
  <si>
    <t>Приобретение расходных материалов ко всем видам компьютерной, периферийной и офисной техники в 1 квартале 2013г.</t>
  </si>
  <si>
    <t>Приобретение расходных материалов ко всем видам компьютерной, периферийной и офисной техники в 2 квартале 2013г.</t>
  </si>
  <si>
    <t>Приобретение расходных материалов ко всем видам компьютерной, периферийной и офисной техники в 3 квартале 2013г.</t>
  </si>
  <si>
    <t>Приобретение расходных материалов ко всем видам компьютерной, периферийной и офисной техники в 4 квартале 2013г.</t>
  </si>
  <si>
    <t>Приобретение расходных материалов ко всем видам компьютерной, периферийной и офисной техники в 4 квартале 2012г.</t>
  </si>
  <si>
    <t>усл.ед.</t>
  </si>
  <si>
    <t>март 2013г.</t>
  </si>
  <si>
    <t xml:space="preserve">ед. </t>
  </si>
  <si>
    <t>51.47.2</t>
  </si>
  <si>
    <t>ГОСТ Р 51506-99 «Конверты почтовые. Технические требования. Методы контроля».</t>
  </si>
  <si>
    <t>Периодические печатные издания должны быть свободными от прав третьих лиц;Периодические печатные издания должны быть не бывшими в употреблении;Периодические издания должны отвечать требованиям качества, безопасности жизни и здоровья, а также иным требованиям сертификации, безопасности (санитарным нормам и правилам, государственным стандартам и т.п.), если такие требования предъявляются действующим законодательством Российской Федерации. Периодические печатные издания при использовании их по назначению не должны создавать угрозы для жизни и здоровья потребителя, окружающей среды, а также не должны причинять вред имуществу потребителя</t>
  </si>
  <si>
    <t>В полном объеме согласно техническому заданию.</t>
  </si>
  <si>
    <t xml:space="preserve"> 64.11.14</t>
  </si>
  <si>
    <t>Оказание услуг по оформлению подписки на периодические издания и доставке подписных периодических изданий в первом полугодии 2013г.</t>
  </si>
  <si>
    <t>Оказание услуг по оформлению подписки на периодические издания и доставке подписных периодических изданий во втором полугодии 2013г.</t>
  </si>
  <si>
    <t>64.11</t>
  </si>
  <si>
    <t>Товар должен соответствовать  ГОСТу Р51506-99 «Конверты почтовые. Технические требования. Методы контроля». ТУ 5438-061-00253497-2001</t>
  </si>
  <si>
    <t xml:space="preserve">в полном объеме согласно заключенному договору </t>
  </si>
  <si>
    <t>Оказание услуг сотовой связи</t>
  </si>
  <si>
    <t>Поставка товаров канцелярских</t>
  </si>
  <si>
    <t>Поставляемые товары должны быть новыми, неиспользованными, соответствовать техническим требованиям, предъявляемым к товарам такого рода, и не иметь дефектов, связанных с оформлением, качеством изготовления и транспортировкой.</t>
  </si>
  <si>
    <t>51.47.2 (опт), 51.47.3(рознич)</t>
  </si>
  <si>
    <r>
      <t>2109404, 2109020,2221030,3010040,</t>
    </r>
    <r>
      <rPr>
        <b/>
        <u/>
        <sz val="10"/>
        <rFont val="Times New Roman"/>
        <family val="1"/>
        <charset val="204"/>
      </rPr>
      <t>3699010</t>
    </r>
  </si>
  <si>
    <t>72.5</t>
  </si>
  <si>
    <t>Ресурс печати заправленного/восстановленного картриджа должны соответствовать аналогичному оригинальному картриджу. Полное отсутствие любых дефектов при печати всего объема страниц установленного для определенного типа картриджа. На отпечатках не должно быть дефектов изображения, размытого или нечёткого изображения, пятен, точек, фона, в том числе и на обратной стороне отпечатка.</t>
  </si>
  <si>
    <t>66.03</t>
  </si>
  <si>
    <r>
      <t xml:space="preserve">в соответствии с </t>
    </r>
    <r>
      <rPr>
        <sz val="10"/>
        <rFont val="Times New Roman"/>
        <family val="1"/>
        <charset val="204"/>
      </rPr>
      <t>Федеральным Законом от 25.04.2002 г. № 40-ФЗ «Об обязательном страховании гражданской ответственности владельцев транспортных средств».</t>
    </r>
  </si>
  <si>
    <t>Оказание услуг по страхованию транспортных средств</t>
  </si>
  <si>
    <t>качество товара должно соответствовать действующим в Российской Федерации стандартам, техническим условиям и иным установленным требованиям к подобному виду товаров и подтверждаться соответствующими документами (сертификатами).            - Цвет бумаги листовой – белый; 
- Плотность бумаги – не менее 80 г/м2.
- Белизна — не менее 96%. по ГОСТ;153% по стандарту CIE;
- яркость — 96% по ISO.</t>
  </si>
  <si>
    <t>21.22</t>
  </si>
  <si>
    <t>Поставка бумаги для офисной техники</t>
  </si>
  <si>
    <t>51.51.2</t>
  </si>
  <si>
    <t>ГОСТ  Р51105-97</t>
  </si>
  <si>
    <t>литр</t>
  </si>
  <si>
    <t>2320212, 2320230</t>
  </si>
  <si>
    <t>60.24, 60.24.1</t>
  </si>
  <si>
    <t>Поставка нефтепродуктов</t>
  </si>
  <si>
    <t xml:space="preserve">75.25.1   </t>
  </si>
  <si>
    <t>Оказание услуг по техническому обслуживанию и ремонту систем охранно-пожарной сигнализации и противопожарной автоматики</t>
  </si>
  <si>
    <t>В соответствии с реглантом обслуживания инженерных сетей</t>
  </si>
  <si>
    <t xml:space="preserve">50.20.3   </t>
  </si>
  <si>
    <t>Технический осмотр транспортных средств</t>
  </si>
  <si>
    <t>Место проведения - г.Грязи. Возможность проведения контроля технического состояния транспортных средств всех категорий с соблюдением установленных правил проведения технического осмотра.</t>
  </si>
  <si>
    <t>72.4</t>
  </si>
  <si>
    <t>Еженедельное пополнени базы данных с выездом по адресу Липецкая обл.,г. Грязи, ул. Песковатская, 17.</t>
  </si>
  <si>
    <t>1816000, 1920000, 1814012, 2519314</t>
  </si>
  <si>
    <t>Поставка оборудования в ООО "Водоканал"</t>
  </si>
  <si>
    <t>90.00.2</t>
  </si>
  <si>
    <t>Вывоз и утилизация ТБО</t>
  </si>
  <si>
    <t xml:space="preserve">64.20.5   </t>
  </si>
  <si>
    <t>Услуги передачи данных и телематических служб сети связи (Интернет)</t>
  </si>
  <si>
    <t>Круглосуточное обеспечение бесперебойной работы канала передачи данных. Техническая поддержка по телефону.</t>
  </si>
  <si>
    <t xml:space="preserve">23.20     </t>
  </si>
  <si>
    <t>Нефтяные масла, смазки, суспензии</t>
  </si>
  <si>
    <t>Соответствие ГОСТ, ТУ, допускам, одобрениям и спецификациям</t>
  </si>
  <si>
    <t>25.11</t>
  </si>
  <si>
    <t>Автомобильные шины (легкового автотранспорта)</t>
  </si>
  <si>
    <t>Товар должен быть новым не б/у</t>
  </si>
  <si>
    <t xml:space="preserve">шт. </t>
  </si>
  <si>
    <t>Автомобильные шины (грузового автотранспорта)</t>
  </si>
  <si>
    <t xml:space="preserve">31.40.2   </t>
  </si>
  <si>
    <t>Аккумуляторы</t>
  </si>
  <si>
    <t>50.30.2</t>
  </si>
  <si>
    <t>Поставка запчастей на автомобильный транспорт</t>
  </si>
  <si>
    <t>Качество и комплектность поставляемой продукции должны соответствовать ГОСТам и ТУ для данного вида товара и подтверждаться сертификатами качества</t>
  </si>
  <si>
    <t>66.03.3</t>
  </si>
  <si>
    <t>Страхование гражданской ответственности, которая может наступить в случае причинения вреда вследствие недостатков работ, которые оказывают влияние на безопасность объектов капитального строительства</t>
  </si>
  <si>
    <t>В соответствии с Переченем работ , утвержденный Приказом Министерства регионального развития РФ от 30.12.2009г. №624</t>
  </si>
  <si>
    <t>66.03.4</t>
  </si>
  <si>
    <t>Страхование гражданской ответственности владельца опасного объекта</t>
  </si>
  <si>
    <t>В соответствии с 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</si>
  <si>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Россия, Липецкая область, г. Грязи - Площадка подготовки воды</t>
  </si>
  <si>
    <t>Россия, Липецкая область, г. Грязи - Площадка АЗС</t>
  </si>
  <si>
    <t xml:space="preserve">Россия, Липецкая область, г. Грязи - Цех транспортный </t>
  </si>
  <si>
    <t>Россия, Липецкая область, г. Грязи - Участок транспортирования опасных веществ</t>
  </si>
  <si>
    <t>75.25.1</t>
  </si>
  <si>
    <t>Оказание услуг по обслуживанию аварийно-спасательным отрядом площадки АЗС с участком транспортирования опасных веществ</t>
  </si>
  <si>
    <t>В соответствии № 68 -ФЗ от 21.12.1994г., № 116-ФЗ от 21.07.1997г., №151-ФЗ от 22.08.1995г. Свидетельство на право ведения аврийно-спасательных и других неотложных работ в чрезвычайных ситуациях.</t>
  </si>
  <si>
    <t>Техническое обслуживание, проведение регламентых, монтажных работ и ремонтов грузоподъемных механизмов</t>
  </si>
  <si>
    <t>Техническое обслуживание приборов безопасности, гидрооборудования, электрооборудования грузоподъемной техники</t>
  </si>
  <si>
    <t>Выполнение работ по экспертизе промышленной безопасности автомобильного крана</t>
  </si>
  <si>
    <t>Разработка и экспертиза Плана локализации и ликвидации аврийных ситуаций (ПЛАС) площадки подготовки воды</t>
  </si>
  <si>
    <t>75.25.2</t>
  </si>
  <si>
    <t>22</t>
  </si>
  <si>
    <t>Бланки документов (бухгалтерская отчетность, путевые листы, карточки, табели и тд)</t>
  </si>
  <si>
    <t>93.05</t>
  </si>
  <si>
    <t>Услуги по побелке зданий</t>
  </si>
  <si>
    <t>Россия, Липецкая область, г. Грязи - Система теплоснабжения</t>
  </si>
  <si>
    <t>Россия, Липецкая область, г. Грязи - Очистные сооружения</t>
  </si>
  <si>
    <t>Услуги по поверке средств измерений</t>
  </si>
  <si>
    <t>Оказание услуг должно соответствовать требованиям, установленным для такого вида услуг настоящим законодательством Российской Федерации нормативными правовыми актами, сертификатами, стандартами, требованиями завода-изготовителя приборов, технической  и другой документацией.</t>
  </si>
  <si>
    <t>74.20.42</t>
  </si>
  <si>
    <t>Услуги по разработке методик измерений, характеризующих качество окружающей среды</t>
  </si>
  <si>
    <t>74.20.41</t>
  </si>
  <si>
    <t>Оказание услуг должно соответствовать требованиям, установленным для такого вида услуг настоящим законодательством Российской Федерации нормативными правовыми актами, сертификатами, стандартами</t>
  </si>
  <si>
    <t xml:space="preserve">Услуги по аккредитации производственной лаборатории </t>
  </si>
  <si>
    <t>74.20.44</t>
  </si>
  <si>
    <t>Расходные материалы, реактивы, питательные среды для производственной лаборатории</t>
  </si>
  <si>
    <t>24.66.4</t>
  </si>
  <si>
    <t>Свидетельство СРО</t>
  </si>
  <si>
    <t>45.21</t>
  </si>
  <si>
    <t>74.20.2</t>
  </si>
  <si>
    <t>Выполнение комплекса работ по ведению мониторинга по водозаборам Грязинского района Липецкой области с последующей оценкой эксплутационных запасов подземных вод на питьевые и хозяйственно-бытовые нужды</t>
  </si>
  <si>
    <t>Наличие лицензии ЛПЦ 00103, 00106, 00107</t>
  </si>
  <si>
    <t>Россия, Липецкая область, Грязинский район</t>
  </si>
  <si>
    <t>1 квартал 2013г.</t>
  </si>
  <si>
    <t>4 квартал 2013г.</t>
  </si>
  <si>
    <t>Выполнение работ по капитальному ремонту водопровода Д=53 мм от ул.Осипенко до ул. Правда,55 г. Грязи (1562 м), методом ГНБ</t>
  </si>
  <si>
    <t>Выполнение работ по капитальному ремонту напорного канализационного коллектора Д=426 мм от КНС-8 по ул.О.Кошевого в г.Грязи</t>
  </si>
  <si>
    <t>80.42</t>
  </si>
  <si>
    <t>Наличие свидетельства о государственной аккредитации образовательного учреждения, лицензии на образовательную деятельность</t>
  </si>
  <si>
    <t>Услуги по  повышению квалификации персонала ООО "Водоканал"</t>
  </si>
  <si>
    <t>чел.</t>
  </si>
  <si>
    <t xml:space="preserve">Автоматический выключатель </t>
  </si>
  <si>
    <t>Анкер для хомута</t>
  </si>
  <si>
    <t>Анкерный болт</t>
  </si>
  <si>
    <t>Арматура  10мм</t>
  </si>
  <si>
    <t xml:space="preserve">Асфальт </t>
  </si>
  <si>
    <t>Ацетилен</t>
  </si>
  <si>
    <t>кг</t>
  </si>
  <si>
    <t>Бетон</t>
  </si>
  <si>
    <t>м3</t>
  </si>
  <si>
    <t>Битум</t>
  </si>
  <si>
    <t xml:space="preserve">Болт </t>
  </si>
  <si>
    <t>Вантуз 100</t>
  </si>
  <si>
    <t>Вентиль 20</t>
  </si>
  <si>
    <t>Выключ. конц. ВК-200</t>
  </si>
  <si>
    <t>Выключатель 3Р 100А</t>
  </si>
  <si>
    <t>Газ сжиженный</t>
  </si>
  <si>
    <t>Гайка</t>
  </si>
  <si>
    <t>Гвозди</t>
  </si>
  <si>
    <t>Гидрант пожарный</t>
  </si>
  <si>
    <t>Гидрофобный цемент</t>
  </si>
  <si>
    <t>Гофра 20</t>
  </si>
  <si>
    <t>Гофра 25</t>
  </si>
  <si>
    <t>Дверь</t>
  </si>
  <si>
    <t>Дин рейка</t>
  </si>
  <si>
    <t>см</t>
  </si>
  <si>
    <t>ДК 10-25</t>
  </si>
  <si>
    <t>Доска</t>
  </si>
  <si>
    <t>Дюбель гвоздь 6*60</t>
  </si>
  <si>
    <t>Жидкое стекло</t>
  </si>
  <si>
    <t>л</t>
  </si>
  <si>
    <t>Заглушка 90</t>
  </si>
  <si>
    <t>Задвижка 100</t>
  </si>
  <si>
    <t>Задвижка 150</t>
  </si>
  <si>
    <t>Задвижка 200</t>
  </si>
  <si>
    <t>Задвижка 250</t>
  </si>
  <si>
    <t>Задвижка 300</t>
  </si>
  <si>
    <t>Задвижка 50</t>
  </si>
  <si>
    <t>Задвижка 500</t>
  </si>
  <si>
    <t>Задвижка 80</t>
  </si>
  <si>
    <t>Кабель ВВГнг-0,66 120*4</t>
  </si>
  <si>
    <t>Кабель ВВГнг-0,66 25*4</t>
  </si>
  <si>
    <t>Кабель ВВГнг-0,66 50*4</t>
  </si>
  <si>
    <t>Кабель ВВГнг-0,66 95*4</t>
  </si>
  <si>
    <t xml:space="preserve">Кирпич </t>
  </si>
  <si>
    <t xml:space="preserve">Кислород </t>
  </si>
  <si>
    <t>Клапан 150</t>
  </si>
  <si>
    <t>Клеммный зажим 16мм2</t>
  </si>
  <si>
    <t>Клеммный зажим 4мм2</t>
  </si>
  <si>
    <t>Клипс 20</t>
  </si>
  <si>
    <t>Клипс 25</t>
  </si>
  <si>
    <t>Кольцо КС10</t>
  </si>
  <si>
    <t>Кольцо КС15</t>
  </si>
  <si>
    <t>Кольцо КС20</t>
  </si>
  <si>
    <t xml:space="preserve">Контейнер </t>
  </si>
  <si>
    <t xml:space="preserve">Коробка </t>
  </si>
  <si>
    <t>Краска</t>
  </si>
  <si>
    <t>Круг 16</t>
  </si>
  <si>
    <t>Круг 24</t>
  </si>
  <si>
    <t>Круг 30</t>
  </si>
  <si>
    <t>Лампа Днат70</t>
  </si>
  <si>
    <t xml:space="preserve">Лист </t>
  </si>
  <si>
    <t>Лист 3</t>
  </si>
  <si>
    <t>Лист 4</t>
  </si>
  <si>
    <t>Лист 5</t>
  </si>
  <si>
    <t>Лист 6</t>
  </si>
  <si>
    <t>Лист рефленный 10</t>
  </si>
  <si>
    <t>Лист ст.10</t>
  </si>
  <si>
    <t xml:space="preserve">Люк металлический </t>
  </si>
  <si>
    <t>Люк полимерный Л</t>
  </si>
  <si>
    <t>Люк полимерный Т</t>
  </si>
  <si>
    <t>Мастика</t>
  </si>
  <si>
    <t>Муфта 110</t>
  </si>
  <si>
    <t>Муфта 315</t>
  </si>
  <si>
    <t>Муфта 63</t>
  </si>
  <si>
    <t>Муфта соединительная 160</t>
  </si>
  <si>
    <t>Наконечники медные 1,5</t>
  </si>
  <si>
    <t>Наконечники медные 2,5</t>
  </si>
  <si>
    <t>Наконечники медные 4</t>
  </si>
  <si>
    <t>Наконечники ТМЛ 25мм2</t>
  </si>
  <si>
    <t>Наконечники ТМЛ 50мм3</t>
  </si>
  <si>
    <t>Насос</t>
  </si>
  <si>
    <t>НКД-10</t>
  </si>
  <si>
    <t>НКД-15</t>
  </si>
  <si>
    <t>Ограничитель на дин рейка</t>
  </si>
  <si>
    <t>Олифа</t>
  </si>
  <si>
    <t>Отвод 159</t>
  </si>
  <si>
    <t>Отвод 219</t>
  </si>
  <si>
    <t>Отвод 90 315</t>
  </si>
  <si>
    <t>Отвод 90гр 90</t>
  </si>
  <si>
    <t>Патрубок Фланец 300</t>
  </si>
  <si>
    <t>ПВС 3*1,5</t>
  </si>
  <si>
    <t>ПВС 3*2,5</t>
  </si>
  <si>
    <t>ПВС 4*2,5</t>
  </si>
  <si>
    <t>Перфорированный короб 30*25 2м</t>
  </si>
  <si>
    <t>Песок</t>
  </si>
  <si>
    <t xml:space="preserve">Песок </t>
  </si>
  <si>
    <t>Плита ПП10-1</t>
  </si>
  <si>
    <t>Плита ПП15</t>
  </si>
  <si>
    <t>Плита ПП20-2</t>
  </si>
  <si>
    <t>Подставка</t>
  </si>
  <si>
    <t>Пожарный гидрант</t>
  </si>
  <si>
    <t>Полоса 4*80</t>
  </si>
  <si>
    <t>Провод ПВ3*16</t>
  </si>
  <si>
    <t>Пускатель электромагнитный ПМЛ-4100</t>
  </si>
  <si>
    <t>Разъем РРМ77/4</t>
  </si>
  <si>
    <t>Раствор</t>
  </si>
  <si>
    <t xml:space="preserve">Редуктор </t>
  </si>
  <si>
    <t>Реле промежуточное РЭК 77/4</t>
  </si>
  <si>
    <t>Светильник ЖКУ 16-70-001</t>
  </si>
  <si>
    <t>Светильник ЛПС 44-2*36-001</t>
  </si>
  <si>
    <t>Светильник НПП 03-100-005</t>
  </si>
  <si>
    <t xml:space="preserve">Седелка </t>
  </si>
  <si>
    <t>Седелка 500/100</t>
  </si>
  <si>
    <t>Сетка из н/ж 1</t>
  </si>
  <si>
    <t>Станция управления ЗТ-3АП</t>
  </si>
  <si>
    <t>комп</t>
  </si>
  <si>
    <t xml:space="preserve">Техпластина </t>
  </si>
  <si>
    <t>Труба 110</t>
  </si>
  <si>
    <t>Труба 159</t>
  </si>
  <si>
    <t>Труба 219</t>
  </si>
  <si>
    <t>Труба 315</t>
  </si>
  <si>
    <t>Труба 40</t>
  </si>
  <si>
    <t>Труба 530*10</t>
  </si>
  <si>
    <t>Труба 530*8</t>
  </si>
  <si>
    <t>Труба 63</t>
  </si>
  <si>
    <t>Труба 89</t>
  </si>
  <si>
    <t>Труба 90 п/э</t>
  </si>
  <si>
    <t>Труба квадр.40</t>
  </si>
  <si>
    <t>Труба ст 108</t>
  </si>
  <si>
    <t>Труба ст 159</t>
  </si>
  <si>
    <t>Труба ст 219</t>
  </si>
  <si>
    <t>Труба стальная 108*3,5</t>
  </si>
  <si>
    <t>Труба стальная 57</t>
  </si>
  <si>
    <t>Труба стальная 76</t>
  </si>
  <si>
    <t>Трубы Д=160мм</t>
  </si>
  <si>
    <t>Трубы Д=200мм</t>
  </si>
  <si>
    <t>Тумблер П2Т</t>
  </si>
  <si>
    <t>Уголок 20</t>
  </si>
  <si>
    <t>Уголок 40*4</t>
  </si>
  <si>
    <t>Уголок 50</t>
  </si>
  <si>
    <t>Уголок 63</t>
  </si>
  <si>
    <t>Уголок 63*4</t>
  </si>
  <si>
    <t>Уголок 75*5</t>
  </si>
  <si>
    <t>УПП-ТТП-80-380-50-УХЛ4</t>
  </si>
  <si>
    <t>Фланец 100</t>
  </si>
  <si>
    <t>Фланец 150</t>
  </si>
  <si>
    <t>Фланец 200</t>
  </si>
  <si>
    <t>Фланец 250</t>
  </si>
  <si>
    <t>Фланец 50</t>
  </si>
  <si>
    <t>Фланец 500</t>
  </si>
  <si>
    <t>Фланец 80</t>
  </si>
  <si>
    <t xml:space="preserve">Фланцевое соединение </t>
  </si>
  <si>
    <t>Хомут для крепления трубы 90</t>
  </si>
  <si>
    <t>Цемент</t>
  </si>
  <si>
    <t>Швеллер 12</t>
  </si>
  <si>
    <t>Швеллер 5</t>
  </si>
  <si>
    <t>Щебень</t>
  </si>
  <si>
    <t xml:space="preserve">Электродвигатель </t>
  </si>
  <si>
    <t>Электродвигатель 132 кВт</t>
  </si>
  <si>
    <t>Электроды 4мм</t>
  </si>
  <si>
    <t xml:space="preserve">Электропривод </t>
  </si>
  <si>
    <t>Частотный преобразователь 7,5 кВт</t>
  </si>
  <si>
    <t>33.20.7</t>
  </si>
  <si>
    <t>28.12</t>
  </si>
  <si>
    <t>27.10</t>
  </si>
  <si>
    <t>26.82.3</t>
  </si>
  <si>
    <t>24.11</t>
  </si>
  <si>
    <t>Водонапорная башня</t>
  </si>
  <si>
    <t>27.2</t>
  </si>
  <si>
    <t>26.63</t>
  </si>
  <si>
    <t>28.75.11</t>
  </si>
  <si>
    <t>28.74.1</t>
  </si>
  <si>
    <t>11.10.3</t>
  </si>
  <si>
    <t>28.73</t>
  </si>
  <si>
    <t>26.51</t>
  </si>
  <si>
    <t>28.75.27</t>
  </si>
  <si>
    <t>20.5</t>
  </si>
  <si>
    <t>45.25.3</t>
  </si>
  <si>
    <t>28</t>
  </si>
  <si>
    <t>31.30</t>
  </si>
  <si>
    <t>26.40</t>
  </si>
  <si>
    <t>28.75.26</t>
  </si>
  <si>
    <t>32.10</t>
  </si>
  <si>
    <t>Водоразборная колонка</t>
  </si>
  <si>
    <t>24.3</t>
  </si>
  <si>
    <t>26.81</t>
  </si>
  <si>
    <t>31.5</t>
  </si>
  <si>
    <t>27.10.64</t>
  </si>
  <si>
    <t>27.22.32</t>
  </si>
  <si>
    <t>24.66.1</t>
  </si>
  <si>
    <t>14.21</t>
  </si>
  <si>
    <t>31.62.1</t>
  </si>
  <si>
    <t>25.13.2</t>
  </si>
  <si>
    <t>27.33</t>
  </si>
  <si>
    <t>14.2</t>
  </si>
  <si>
    <t>31.10</t>
  </si>
  <si>
    <t>куб.м</t>
  </si>
  <si>
    <t>Россия, Липецкая область, г. Грязи, ул.Правды (пункт приема платежей)</t>
  </si>
  <si>
    <t>Россия, Липецкая область, г. Грязи, ул.Орджоникидзе (водозабор)</t>
  </si>
  <si>
    <t>Оказание услуг по обеспечению охраны объектов и материальных ценностей посредством милицейского поста</t>
  </si>
  <si>
    <t>Россия, Липецкая область, г. Грязи, ул.Орджоникидзе (водозабор), ул.Песковатская 17 (проходная),Б.Самовецкий водозабор</t>
  </si>
  <si>
    <t>АИ-95 - 14650, АИ-92-166010, ДТ-98750</t>
  </si>
  <si>
    <t>ед.</t>
  </si>
  <si>
    <t>на период с 01.10.2012 г. по 31.12.2013 г.</t>
  </si>
  <si>
    <t>Поставка конвертов почтовых не маркированных в 4 квартале 2012г.</t>
  </si>
  <si>
    <t>Поставка конвертов почтовых не маркированных в 1 квартале 2013г.</t>
  </si>
  <si>
    <t>Поставка конвертов почтовых не маркированных в 4 квартале 2013г.</t>
  </si>
  <si>
    <t>Поставка конвертов почтовых не маркированных в 3 квартале 2013г.</t>
  </si>
  <si>
    <t>Поставка конвертов почтовых не маркированных в 2 квартале 2013г.</t>
  </si>
  <si>
    <t>Единственный источник</t>
  </si>
  <si>
    <t>Поставка государственных знаков почтовой оплаты в 4 квартале 2012г.</t>
  </si>
  <si>
    <t>Поставка государственных знаков почтовой оплаты в 1 полугодии 2013г.</t>
  </si>
  <si>
    <t>Поставка государственных знаков почтовой оплаты в 2 полугодии 2013г.</t>
  </si>
  <si>
    <t>Услуги по сопровождению информационного комплекса Гарант в 2013 г.</t>
  </si>
  <si>
    <t>Оказание автотранспортных услуг в октябре 2012г.</t>
  </si>
  <si>
    <t>Оказание автотранспортных услуг в ноябре 2012г.</t>
  </si>
  <si>
    <t>Оказание автотранспортных услуг в декабре 2012г.</t>
  </si>
  <si>
    <t>Оказание автотранспортных услуг в январе 2013г.</t>
  </si>
  <si>
    <t>Оказание автотранспортных услуг в феврале 2013г.</t>
  </si>
  <si>
    <t>Оказание автотранспортных услуг в марте 2013г.</t>
  </si>
  <si>
    <t>Оказание автотранспортных услуг в апреле 2013г.</t>
  </si>
  <si>
    <t>Оказание автотранспортных услуг в мае 2013г.</t>
  </si>
  <si>
    <t>Оказание автотранспортных услуг в июне 2013г.</t>
  </si>
  <si>
    <t>Оказание автотранспортных услуг в июле 2013г.</t>
  </si>
  <si>
    <t>Оказание автотранспортных услуг в августе2013г.</t>
  </si>
  <si>
    <t>Оказание автотранспортных услуг в сентябре 2013г.</t>
  </si>
  <si>
    <t>Оказание автотранспортных услуг в октябре 2013г.</t>
  </si>
  <si>
    <t>Оказание автотранспортных услуг в ноябре 2013г.</t>
  </si>
  <si>
    <t>Оказание автотранспортных услуг в декабре 2013г.</t>
  </si>
  <si>
    <t xml:space="preserve">Услуги по заправке и восстановлению  картриджей к периферийной и офисной технике </t>
  </si>
  <si>
    <t>Услуги по плановому техническому обслуживанию и  ремонту автомобилей в октябре 2012г.</t>
  </si>
  <si>
    <t>Услуги по плановому техническому обслуживанию и  ремонту автомобилей в ноябре 2012г.</t>
  </si>
  <si>
    <t>Услуги по плановому техническому обслуживанию и  ремонту автомобилей в декабре 2012г.</t>
  </si>
  <si>
    <t>Услуги по плановому техническому обслуживанию и  ремонту автомобилей в январе 2013г.</t>
  </si>
  <si>
    <t>Услуги по плановому техническому обслуживанию и  ремонту автомобилей в феврале 2013г.</t>
  </si>
  <si>
    <t>Услуги по плановому техническому обслуживанию и  ремонту автомобилей в марте 2013г.</t>
  </si>
  <si>
    <t>Услуги по плановому техническому обслуживанию и  ремонту автомобилей в апреле 2013г.</t>
  </si>
  <si>
    <t>Услуги по плановому техническому обслуживанию и  ремонту автомобилей в мае 2013г.</t>
  </si>
  <si>
    <t>Услуги по плановому техническому обслуживанию и  ремонту автомобилей в июне 2013г.</t>
  </si>
  <si>
    <t>Услуги по плановому техническому обслуживанию и  ремонту автомобилей в июле 2013г.</t>
  </si>
  <si>
    <t>Услуги по плановому техническому обслуживанию и  ремонту автомобилей в августе 2013г.</t>
  </si>
  <si>
    <t>Услуги по плановому техническому обслуживанию и  ремонту автомобилей в сентябре 2013г.</t>
  </si>
  <si>
    <t>Услуги по плановому техническому обслуживанию и  ремонту автомобилей в октябре 2013г.</t>
  </si>
  <si>
    <t>Услуги по плановому техническому обслуживанию и  ремонту автомобилей в ноябре 2013г.</t>
  </si>
  <si>
    <t>Услуги по плановому техническому обслуживанию и  ремонту автомобилей в декабре 2013г.</t>
  </si>
  <si>
    <t>открытый  аукцион</t>
  </si>
  <si>
    <t>аукцион</t>
  </si>
  <si>
    <t>Генеральный директор Елисеев П.Н.                                        ________________             «     » __________  20__ г.</t>
  </si>
  <si>
    <t>Адрес местонахождения заказчика</t>
  </si>
  <si>
    <t>Телефон заказчика</t>
  </si>
  <si>
    <t>Электронная почта заказчика</t>
  </si>
  <si>
    <t>(47461) 2-27-87</t>
  </si>
  <si>
    <t xml:space="preserve">  office@vodokanal48.ru</t>
  </si>
  <si>
    <t>КПП</t>
  </si>
  <si>
    <t>Порядковый номер</t>
  </si>
  <si>
    <t>Код по ОКВЭД</t>
  </si>
  <si>
    <t>Код по ОКДП</t>
  </si>
  <si>
    <t xml:space="preserve">Предмет договора </t>
  </si>
  <si>
    <t xml:space="preserve">Минимально необходимые требования, предьявляемые к закупаемым товарам (работам, услугам) </t>
  </si>
  <si>
    <t>Код по ОКЕИ</t>
  </si>
  <si>
    <t>наименование</t>
  </si>
  <si>
    <t>Регион поставки товаров (выполнения работ, оказания услуг)</t>
  </si>
  <si>
    <t>Код по ОКАТО</t>
  </si>
  <si>
    <t>Сведения о начальной (максимальной) цене договора (цене лота)</t>
  </si>
  <si>
    <t>Способ  закупки</t>
  </si>
  <si>
    <t>Закупка в электронной форме</t>
  </si>
  <si>
    <t>да/нет</t>
  </si>
  <si>
    <t xml:space="preserve">да </t>
  </si>
  <si>
    <t>нет</t>
  </si>
  <si>
    <t>шт . 
(телефонных номеров)</t>
  </si>
  <si>
    <t>канал (связи)</t>
  </si>
  <si>
    <t>ед. (информационных баз)</t>
  </si>
  <si>
    <t>166 (112)</t>
  </si>
  <si>
    <t>кг.( л)</t>
  </si>
  <si>
    <t>тысяч пачек</t>
  </si>
  <si>
    <t>006</t>
  </si>
  <si>
    <t>шт. (скважин)</t>
  </si>
  <si>
    <t>168</t>
  </si>
  <si>
    <t>004</t>
  </si>
  <si>
    <t>шт. (баллонов)</t>
  </si>
  <si>
    <t>055</t>
  </si>
  <si>
    <t>74.30.5</t>
  </si>
  <si>
    <t>проведение испытаний и изререний электрооборудования</t>
  </si>
  <si>
    <t>Оказание услуг по проведению испытаний и измерений электрооборудования ООО "Водоканал"</t>
  </si>
  <si>
    <t>275589 руб.</t>
  </si>
  <si>
    <t>октябрь 2012г.</t>
  </si>
  <si>
    <t>45.25.2</t>
  </si>
  <si>
    <t>Бурение артскважины по адресу: Липецкая область, Грязинский район, д.Красногорка</t>
  </si>
  <si>
    <t>наличие Свидетельства о допуске к работам, которые оказавают влияние на безопасность объектов капитального строительства</t>
  </si>
  <si>
    <t>Россия, Липецкая область, Грязинский район, д.Красногорка</t>
  </si>
  <si>
    <t>800000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</si>
</sst>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quot;р.&quot;_-;\-* #,##0.00&quot;р.&quot;_-;_-* &quot;-&quot;??&quot;р.&quot;_-;_-@_-"/>
    <numFmt numFmtId="164" formatCode="mm/yyyy"/>
    <numFmt numFmtId="165" formatCode="#,##0.00\ [$руб.-419];[Red]\-#,##0.00\ [$руб.-419]"/>
    <numFmt numFmtId="166" formatCode="0.0"/>
  </numFmts>
  <fonts count="32">
    <font>
      <sz val="11"/>
      <color theme="1"/>
      <name val="Calibri"/>
      <family val="2"/>
      <scheme val="minor"/>
    </font>
    <font>
      <sz val="11"/>
      <color theme="1"/>
      <name val="Calibri"/>
      <family val="2"/>
      <charset val="204"/>
      <scheme val="minor"/>
    </font>
    <font>
      <sz val="11"/>
      <color theme="1"/>
      <name val="Times New Roman"/>
      <family val="1"/>
      <charset val="204"/>
    </font>
    <font>
      <sz val="12"/>
      <color theme="1"/>
      <name val="Times New Roman"/>
      <family val="1"/>
      <charset val="204"/>
    </font>
    <font>
      <sz val="9"/>
      <color theme="1"/>
      <name val="Times New Roman"/>
      <family val="1"/>
      <charset val="204"/>
    </font>
    <font>
      <b/>
      <sz val="11"/>
      <color theme="1"/>
      <name val="Times New Roman"/>
      <family val="1"/>
      <charset val="204"/>
    </font>
    <font>
      <b/>
      <sz val="10"/>
      <name val="Times New Roman"/>
      <family val="1"/>
      <charset val="1"/>
    </font>
    <font>
      <b/>
      <sz val="9"/>
      <name val="Times New Roman"/>
      <family val="1"/>
      <charset val="204"/>
    </font>
    <font>
      <b/>
      <sz val="8"/>
      <name val="Times New Roman"/>
      <family val="1"/>
      <charset val="204"/>
    </font>
    <font>
      <b/>
      <sz val="7"/>
      <name val="Times New Roman"/>
      <family val="1"/>
      <charset val="204"/>
    </font>
    <font>
      <b/>
      <sz val="9"/>
      <color theme="1"/>
      <name val="Times New Roman"/>
      <family val="1"/>
      <charset val="204"/>
    </font>
    <font>
      <b/>
      <sz val="14"/>
      <color theme="1"/>
      <name val="Times New Roman"/>
      <family val="1"/>
      <charset val="204"/>
    </font>
    <font>
      <b/>
      <sz val="10"/>
      <name val="Times New Roman"/>
      <family val="1"/>
      <charset val="204"/>
    </font>
    <font>
      <b/>
      <sz val="10"/>
      <color theme="1"/>
      <name val="Times New Roman"/>
      <family val="1"/>
      <charset val="204"/>
    </font>
    <font>
      <b/>
      <sz val="9"/>
      <name val="Arial"/>
      <family val="2"/>
      <charset val="204"/>
    </font>
    <font>
      <b/>
      <sz val="10"/>
      <name val="Times New Roman"/>
      <family val="1"/>
    </font>
    <font>
      <sz val="10"/>
      <name val="Times New Roman"/>
      <family val="1"/>
      <charset val="1"/>
    </font>
    <font>
      <b/>
      <sz val="9"/>
      <name val="Times New Roman"/>
      <family val="1"/>
      <charset val="1"/>
    </font>
    <font>
      <b/>
      <sz val="7"/>
      <name val="Times New Roman"/>
      <family val="1"/>
      <charset val="128"/>
    </font>
    <font>
      <b/>
      <u/>
      <sz val="10"/>
      <name val="Times New Roman"/>
      <family val="1"/>
      <charset val="204"/>
    </font>
    <font>
      <b/>
      <sz val="9"/>
      <color indexed="8"/>
      <name val="Times New Roman"/>
      <family val="1"/>
      <charset val="204"/>
    </font>
    <font>
      <sz val="10"/>
      <name val="Times New Roman"/>
      <family val="1"/>
      <charset val="204"/>
    </font>
    <font>
      <sz val="10"/>
      <name val="Arial"/>
      <family val="2"/>
      <charset val="204"/>
    </font>
    <font>
      <u/>
      <sz val="10"/>
      <color indexed="12"/>
      <name val="Arial"/>
      <family val="2"/>
      <charset val="204"/>
    </font>
    <font>
      <sz val="10"/>
      <color indexed="81"/>
      <name val="Tahoma"/>
      <family val="2"/>
      <charset val="204"/>
    </font>
    <font>
      <b/>
      <sz val="10"/>
      <color indexed="81"/>
      <name val="Tahoma"/>
      <family val="2"/>
      <charset val="204"/>
    </font>
    <font>
      <b/>
      <sz val="11"/>
      <color theme="1"/>
      <name val="Calibri"/>
      <family val="2"/>
      <scheme val="minor"/>
    </font>
    <font>
      <b/>
      <sz val="12"/>
      <color theme="1"/>
      <name val="Times New Roman"/>
      <family val="1"/>
      <charset val="204"/>
    </font>
    <font>
      <b/>
      <sz val="10"/>
      <color indexed="8"/>
      <name val="Times New Roman"/>
      <family val="1"/>
      <charset val="204"/>
    </font>
    <font>
      <b/>
      <sz val="10"/>
      <name val="Times New Roman"/>
      <family val="1"/>
      <charset val="128"/>
    </font>
    <font>
      <b/>
      <sz val="10"/>
      <name val="Arial"/>
      <family val="2"/>
      <charset val="204"/>
    </font>
    <font>
      <sz val="10"/>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8"/>
      </right>
      <top style="hair">
        <color indexed="8"/>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s>
  <cellStyleXfs count="4">
    <xf numFmtId="0" fontId="0" fillId="0" borderId="0"/>
    <xf numFmtId="0" fontId="1" fillId="0" borderId="0"/>
    <xf numFmtId="0" fontId="23" fillId="0" borderId="0" applyNumberFormat="0" applyFill="0" applyBorder="0" applyAlignment="0" applyProtection="0">
      <alignment vertical="top"/>
      <protection locked="0"/>
    </xf>
    <xf numFmtId="0" fontId="22" fillId="0" borderId="0"/>
  </cellStyleXfs>
  <cellXfs count="200">
    <xf numFmtId="0" fontId="0" fillId="0" borderId="0" xfId="0"/>
    <xf numFmtId="0" fontId="0" fillId="0" borderId="0" xfId="0" applyAlignment="1">
      <alignment wrapText="1" shrinkToFit="1"/>
    </xf>
    <xf numFmtId="0" fontId="0" fillId="0" borderId="0" xfId="0" applyAlignment="1">
      <alignment horizontal="center" vertical="center" wrapText="1" shrinkToFit="1"/>
    </xf>
    <xf numFmtId="0" fontId="0" fillId="0" borderId="0" xfId="0" applyAlignment="1">
      <alignment horizontal="left" vertical="center" wrapText="1" shrinkToFit="1"/>
    </xf>
    <xf numFmtId="0" fontId="0" fillId="0" borderId="0" xfId="0" applyFill="1" applyAlignment="1">
      <alignment horizontal="center" vertical="center" wrapText="1" shrinkToFit="1"/>
    </xf>
    <xf numFmtId="0" fontId="3" fillId="0" borderId="0" xfId="0" applyFont="1" applyAlignment="1">
      <alignment vertical="center"/>
    </xf>
    <xf numFmtId="0" fontId="4" fillId="0" borderId="0" xfId="0" applyFont="1" applyAlignment="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lignment horizontal="left" vertical="center" wrapText="1" shrinkToFit="1"/>
    </xf>
    <xf numFmtId="0" fontId="2" fillId="0" borderId="0" xfId="0" applyFont="1" applyFill="1" applyAlignment="1">
      <alignment horizontal="center" vertical="center" wrapText="1" shrinkToFit="1"/>
    </xf>
    <xf numFmtId="0" fontId="2" fillId="0" borderId="0" xfId="0" applyFont="1" applyAlignment="1">
      <alignment horizontal="center" vertical="center"/>
    </xf>
    <xf numFmtId="0" fontId="2" fillId="0" borderId="0" xfId="0" applyFont="1"/>
    <xf numFmtId="0" fontId="2" fillId="0" borderId="3" xfId="0" applyFont="1" applyFill="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10" xfId="0" applyFont="1" applyFill="1" applyBorder="1" applyAlignment="1">
      <alignment horizontal="center" vertical="center" wrapText="1" shrinkToFit="1"/>
    </xf>
    <xf numFmtId="0" fontId="1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2" xfId="0" applyFont="1" applyBorder="1" applyAlignment="1">
      <alignment horizontal="center" vertical="center" wrapText="1"/>
    </xf>
    <xf numFmtId="164" fontId="4" fillId="0"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Border="1" applyAlignment="1">
      <alignment horizontal="center" vertical="center" wrapText="1" shrinkToFit="1"/>
    </xf>
    <xf numFmtId="0" fontId="2" fillId="0" borderId="0" xfId="0" applyFont="1" applyBorder="1" applyAlignment="1">
      <alignment horizontal="center" vertical="center"/>
    </xf>
    <xf numFmtId="0" fontId="2" fillId="0" borderId="0" xfId="0" applyFont="1" applyBorder="1"/>
    <xf numFmtId="49"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8" xfId="0" applyFont="1" applyBorder="1" applyAlignment="1">
      <alignment horizontal="center" vertical="center" wrapText="1"/>
    </xf>
    <xf numFmtId="0" fontId="2" fillId="0" borderId="0" xfId="0" applyFont="1" applyAlignment="1">
      <alignment wrapText="1" shrinkToFit="1"/>
    </xf>
    <xf numFmtId="0" fontId="2" fillId="0" borderId="0" xfId="0" applyFont="1" applyBorder="1" applyAlignment="1">
      <alignment vertical="center"/>
    </xf>
    <xf numFmtId="0" fontId="2" fillId="0" borderId="0" xfId="0" applyFont="1" applyAlignment="1">
      <alignment horizontal="left" vertical="center"/>
    </xf>
    <xf numFmtId="0" fontId="2" fillId="0" borderId="0" xfId="0" applyFont="1" applyFill="1" applyAlignment="1">
      <alignment horizontal="center" vertical="center"/>
    </xf>
    <xf numFmtId="0" fontId="14" fillId="0" borderId="15"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7"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4" fillId="0" borderId="18" xfId="0" applyFont="1" applyBorder="1" applyAlignment="1">
      <alignment horizontal="center" vertical="center" wrapText="1"/>
    </xf>
    <xf numFmtId="164" fontId="4" fillId="0" borderId="18" xfId="0" applyNumberFormat="1" applyFont="1" applyFill="1" applyBorder="1" applyAlignment="1">
      <alignment horizontal="center" vertical="center" wrapText="1"/>
    </xf>
    <xf numFmtId="0" fontId="6" fillId="0" borderId="16" xfId="0" applyFont="1" applyBorder="1" applyAlignment="1">
      <alignment horizontal="center" vertical="center" wrapText="1"/>
    </xf>
    <xf numFmtId="0" fontId="7" fillId="0" borderId="16" xfId="0" applyFont="1" applyBorder="1" applyAlignment="1">
      <alignment horizontal="center" vertical="center" wrapText="1"/>
    </xf>
    <xf numFmtId="0" fontId="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8"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7" fillId="0" borderId="1" xfId="0" applyFont="1" applyBorder="1" applyAlignment="1">
      <alignment horizontal="left" vertical="center" wrapText="1"/>
    </xf>
    <xf numFmtId="0" fontId="20" fillId="0" borderId="1" xfId="0" applyFont="1" applyBorder="1" applyAlignment="1">
      <alignment horizontal="center" vertical="center" wrapText="1"/>
    </xf>
    <xf numFmtId="0" fontId="10" fillId="0" borderId="16" xfId="0" applyFont="1" applyBorder="1" applyAlignment="1">
      <alignment horizontal="center" vertical="center" wrapText="1"/>
    </xf>
    <xf numFmtId="0" fontId="4" fillId="0" borderId="0" xfId="0" applyFont="1" applyAlignment="1">
      <alignment horizontal="center" vertical="center" wrapText="1" shrinkToFit="1"/>
    </xf>
    <xf numFmtId="0" fontId="4" fillId="0" borderId="0" xfId="0" applyFont="1" applyAlignment="1">
      <alignment horizontal="center" vertical="center"/>
    </xf>
    <xf numFmtId="0" fontId="4" fillId="0" borderId="0" xfId="0" applyFont="1"/>
    <xf numFmtId="0" fontId="20" fillId="0" borderId="1" xfId="1" applyFont="1" applyFill="1" applyBorder="1" applyAlignment="1">
      <alignment horizontal="center" vertical="center" wrapText="1"/>
    </xf>
    <xf numFmtId="0" fontId="20" fillId="3" borderId="1" xfId="1" applyFont="1" applyFill="1" applyBorder="1" applyAlignment="1">
      <alignment horizontal="center" vertical="center" wrapText="1"/>
    </xf>
    <xf numFmtId="0" fontId="20" fillId="3"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6" fillId="0" borderId="15" xfId="0" applyFont="1" applyBorder="1" applyAlignment="1">
      <alignment horizontal="center" vertical="center" wrapText="1"/>
    </xf>
    <xf numFmtId="0" fontId="20" fillId="0" borderId="1" xfId="1" applyNumberFormat="1" applyFont="1" applyFill="1" applyBorder="1" applyAlignment="1">
      <alignment horizontal="center" vertical="center" wrapText="1"/>
    </xf>
    <xf numFmtId="0" fontId="10" fillId="0" borderId="1" xfId="1" applyFont="1" applyBorder="1" applyAlignment="1">
      <alignment horizontal="center" vertical="center" wrapText="1"/>
    </xf>
    <xf numFmtId="165" fontId="6" fillId="3"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165" fontId="17" fillId="3" borderId="1" xfId="0" applyNumberFormat="1" applyFont="1" applyFill="1" applyBorder="1" applyAlignment="1">
      <alignment horizontal="center" vertical="center" wrapText="1"/>
    </xf>
    <xf numFmtId="0" fontId="12" fillId="0" borderId="1" xfId="0" applyFont="1" applyFill="1" applyBorder="1"/>
    <xf numFmtId="0" fontId="12" fillId="0" borderId="1" xfId="0" applyFont="1" applyBorder="1" applyAlignment="1">
      <alignment horizontal="center"/>
    </xf>
    <xf numFmtId="0" fontId="12" fillId="0" borderId="1" xfId="0" applyFont="1" applyFill="1" applyBorder="1" applyAlignment="1">
      <alignment horizontal="center"/>
    </xf>
    <xf numFmtId="0" fontId="12" fillId="0" borderId="1" xfId="0" applyFont="1" applyBorder="1"/>
    <xf numFmtId="0" fontId="12" fillId="0" borderId="15" xfId="0" applyFont="1" applyBorder="1"/>
    <xf numFmtId="0" fontId="12" fillId="0" borderId="15" xfId="0" applyFont="1" applyFill="1" applyBorder="1"/>
    <xf numFmtId="0" fontId="12" fillId="0" borderId="1" xfId="0" applyFont="1" applyBorder="1" applyAlignment="1">
      <alignment horizontal="left"/>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Border="1" applyAlignment="1">
      <alignment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shrinkToFit="1"/>
    </xf>
    <xf numFmtId="165" fontId="7" fillId="3"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12" fillId="3" borderId="1" xfId="0" applyNumberFormat="1" applyFont="1" applyFill="1" applyBorder="1" applyAlignment="1">
      <alignment horizontal="center" vertical="center" wrapText="1"/>
    </xf>
    <xf numFmtId="44" fontId="10" fillId="0" borderId="2" xfId="0" applyNumberFormat="1" applyFont="1" applyBorder="1" applyAlignment="1">
      <alignment vertical="center" wrapText="1"/>
    </xf>
    <xf numFmtId="44" fontId="10" fillId="2" borderId="1" xfId="0" applyNumberFormat="1" applyFont="1" applyFill="1" applyBorder="1" applyAlignment="1">
      <alignment vertical="center" wrapText="1"/>
    </xf>
    <xf numFmtId="0" fontId="2" fillId="0" borderId="1" xfId="0" applyFont="1" applyBorder="1" applyAlignment="1">
      <alignment horizontal="center" vertical="center" wrapText="1" shrinkToFit="1"/>
    </xf>
    <xf numFmtId="0" fontId="2" fillId="0" borderId="3" xfId="0" applyFont="1" applyBorder="1" applyAlignment="1">
      <alignment horizontal="center" vertical="center" wrapText="1" shrinkToFit="1"/>
    </xf>
    <xf numFmtId="165" fontId="6" fillId="3" borderId="8" xfId="0" applyNumberFormat="1" applyFont="1" applyFill="1" applyBorder="1" applyAlignment="1">
      <alignment horizontal="center" vertical="center" wrapText="1"/>
    </xf>
    <xf numFmtId="0" fontId="4" fillId="3" borderId="18" xfId="0" applyFont="1" applyFill="1" applyBorder="1" applyAlignment="1">
      <alignment horizontal="center" vertical="center" wrapText="1"/>
    </xf>
    <xf numFmtId="0" fontId="26" fillId="0" borderId="0" xfId="0" applyFont="1" applyAlignment="1">
      <alignment wrapText="1" shrinkToFit="1"/>
    </xf>
    <xf numFmtId="0" fontId="27" fillId="0" borderId="0" xfId="0" applyFont="1" applyAlignment="1">
      <alignment vertical="center"/>
    </xf>
    <xf numFmtId="0" fontId="26" fillId="0" borderId="0" xfId="0" applyFont="1" applyAlignment="1">
      <alignment horizontal="left" vertical="center" wrapText="1" shrinkToFit="1"/>
    </xf>
    <xf numFmtId="0" fontId="26" fillId="0" borderId="0" xfId="0" applyFont="1" applyAlignment="1">
      <alignment horizontal="center" vertical="center" wrapText="1" shrinkToFit="1"/>
    </xf>
    <xf numFmtId="0" fontId="26" fillId="0" borderId="0" xfId="0" applyFont="1" applyFill="1" applyAlignment="1">
      <alignment horizontal="center" vertical="center" wrapText="1" shrinkToFit="1"/>
    </xf>
    <xf numFmtId="0" fontId="26" fillId="0" borderId="0" xfId="0" applyFont="1"/>
    <xf numFmtId="0" fontId="2" fillId="0" borderId="0" xfId="0" applyFont="1" applyAlignment="1">
      <alignment horizontal="center"/>
    </xf>
    <xf numFmtId="0" fontId="2" fillId="0" borderId="25" xfId="0" applyFont="1" applyBorder="1" applyAlignment="1">
      <alignment horizontal="center" vertical="center" wrapText="1" shrinkToFit="1"/>
    </xf>
    <xf numFmtId="0" fontId="12"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20" fillId="3" borderId="15" xfId="1" applyNumberFormat="1" applyFont="1" applyFill="1" applyBorder="1" applyAlignment="1">
      <alignment horizontal="center" vertical="center" wrapText="1"/>
    </xf>
    <xf numFmtId="0" fontId="20" fillId="0" borderId="15" xfId="1" applyNumberFormat="1" applyFont="1" applyBorder="1" applyAlignment="1">
      <alignment horizontal="center" vertical="center" wrapText="1"/>
    </xf>
    <xf numFmtId="0" fontId="20" fillId="0" borderId="15" xfId="1" applyFont="1" applyFill="1" applyBorder="1" applyAlignment="1">
      <alignment horizontal="center" vertical="center" wrapText="1"/>
    </xf>
    <xf numFmtId="49" fontId="20" fillId="0" borderId="15" xfId="1" applyNumberFormat="1" applyFont="1" applyFill="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5" xfId="0" applyNumberFormat="1" applyFont="1" applyFill="1" applyBorder="1" applyAlignment="1">
      <alignment horizontal="center" vertical="center" wrapText="1"/>
    </xf>
    <xf numFmtId="0" fontId="10" fillId="0" borderId="15" xfId="0" applyFont="1" applyBorder="1" applyAlignment="1">
      <alignment horizontal="center" vertical="center" wrapText="1"/>
    </xf>
    <xf numFmtId="49" fontId="4" fillId="0" borderId="15" xfId="0" applyNumberFormat="1" applyFont="1" applyFill="1" applyBorder="1" applyAlignment="1">
      <alignment horizontal="center" vertical="center" wrapText="1"/>
    </xf>
    <xf numFmtId="0" fontId="10" fillId="0" borderId="15" xfId="0" applyFont="1" applyBorder="1" applyAlignment="1">
      <alignment vertical="center" wrapText="1"/>
    </xf>
    <xf numFmtId="0" fontId="10" fillId="0" borderId="15" xfId="0" applyFont="1" applyBorder="1" applyAlignment="1">
      <alignment horizontal="center" vertical="center" wrapText="1" shrinkToFit="1"/>
    </xf>
    <xf numFmtId="16" fontId="10" fillId="0" borderId="15" xfId="0" applyNumberFormat="1" applyFont="1" applyBorder="1" applyAlignment="1">
      <alignment horizontal="center" vertical="center" wrapText="1" shrinkToFit="1"/>
    </xf>
    <xf numFmtId="49" fontId="10" fillId="0" borderId="15" xfId="0" applyNumberFormat="1" applyFont="1" applyBorder="1" applyAlignment="1">
      <alignment horizontal="center" vertical="center" wrapText="1" shrinkToFit="1"/>
    </xf>
    <xf numFmtId="0" fontId="2" fillId="0" borderId="21" xfId="0" applyFont="1" applyBorder="1" applyAlignment="1">
      <alignment horizontal="left" vertical="center" wrapText="1" shrinkToFit="1"/>
    </xf>
    <xf numFmtId="0" fontId="2" fillId="0" borderId="1" xfId="0" applyFont="1" applyBorder="1" applyAlignment="1">
      <alignment horizontal="center" vertical="center" textRotation="90" wrapText="1" shrinkToFit="1"/>
    </xf>
    <xf numFmtId="0" fontId="21" fillId="3" borderId="1" xfId="0" applyFont="1" applyFill="1" applyBorder="1" applyAlignment="1">
      <alignment horizontal="center" vertical="center" wrapText="1"/>
    </xf>
    <xf numFmtId="0" fontId="2" fillId="0" borderId="21" xfId="0" applyFont="1" applyBorder="1" applyAlignment="1">
      <alignment horizontal="center" vertical="center" wrapText="1" shrinkToFit="1"/>
    </xf>
    <xf numFmtId="0" fontId="2" fillId="0" borderId="20" xfId="0" applyFont="1" applyBorder="1" applyAlignment="1">
      <alignment horizontal="left" vertical="center" wrapText="1" shrinkToFit="1"/>
    </xf>
    <xf numFmtId="0" fontId="2" fillId="0" borderId="19" xfId="0" applyFont="1" applyBorder="1" applyAlignment="1">
      <alignment horizontal="center" vertical="center" wrapText="1" shrinkToFit="1"/>
    </xf>
    <xf numFmtId="0" fontId="2" fillId="0" borderId="16" xfId="0" applyFont="1" applyBorder="1" applyAlignment="1">
      <alignment horizontal="center"/>
    </xf>
    <xf numFmtId="0" fontId="12" fillId="3" borderId="16" xfId="0" applyFont="1" applyFill="1" applyBorder="1" applyAlignment="1">
      <alignment horizontal="center" vertical="center" textRotation="90" wrapText="1"/>
    </xf>
    <xf numFmtId="0" fontId="2" fillId="0" borderId="1" xfId="0" applyFont="1" applyBorder="1" applyAlignment="1">
      <alignment horizontal="center" vertical="center"/>
    </xf>
    <xf numFmtId="0" fontId="29" fillId="0" borderId="1" xfId="0" applyFont="1" applyBorder="1" applyAlignment="1">
      <alignment horizontal="center" vertical="center" wrapText="1"/>
    </xf>
    <xf numFmtId="0" fontId="12" fillId="0" borderId="15" xfId="0" applyFont="1" applyBorder="1" applyAlignment="1">
      <alignment horizontal="center"/>
    </xf>
    <xf numFmtId="0" fontId="12" fillId="0" borderId="15" xfId="0" applyFont="1" applyFill="1" applyBorder="1" applyAlignment="1">
      <alignment horizontal="center"/>
    </xf>
    <xf numFmtId="49" fontId="12" fillId="0" borderId="1" xfId="0" applyNumberFormat="1" applyFont="1" applyFill="1" applyBorder="1" applyAlignment="1">
      <alignment horizontal="center"/>
    </xf>
    <xf numFmtId="49" fontId="12" fillId="0" borderId="1" xfId="0" applyNumberFormat="1" applyFont="1" applyBorder="1" applyAlignment="1">
      <alignment horizontal="center"/>
    </xf>
    <xf numFmtId="0" fontId="12" fillId="0" borderId="1" xfId="0" applyFont="1" applyFill="1" applyBorder="1" applyAlignment="1">
      <alignment horizontal="center" wrapText="1"/>
    </xf>
    <xf numFmtId="0" fontId="12" fillId="0" borderId="1" xfId="0" applyFont="1" applyBorder="1" applyAlignment="1">
      <alignment horizontal="center" wrapText="1"/>
    </xf>
    <xf numFmtId="0" fontId="12" fillId="3" borderId="1" xfId="0" applyFont="1" applyFill="1" applyBorder="1" applyAlignment="1">
      <alignment horizontal="center" wrapText="1"/>
    </xf>
    <xf numFmtId="0" fontId="13" fillId="2" borderId="1" xfId="0" applyFont="1" applyFill="1" applyBorder="1" applyAlignment="1">
      <alignment horizontal="center" wrapText="1"/>
    </xf>
    <xf numFmtId="0" fontId="6" fillId="0" borderId="1" xfId="0" applyFont="1" applyBorder="1" applyAlignment="1">
      <alignment horizontal="center" wrapText="1"/>
    </xf>
    <xf numFmtId="0" fontId="15" fillId="0" borderId="1" xfId="0" applyFont="1" applyBorder="1" applyAlignment="1">
      <alignment horizontal="center" wrapText="1"/>
    </xf>
    <xf numFmtId="0" fontId="15" fillId="0" borderId="8" xfId="0" applyFont="1" applyBorder="1" applyAlignment="1">
      <alignment horizontal="center" wrapText="1"/>
    </xf>
    <xf numFmtId="0" fontId="6" fillId="3" borderId="17" xfId="0" applyFont="1" applyFill="1" applyBorder="1" applyAlignment="1">
      <alignment horizontal="center" wrapText="1"/>
    </xf>
    <xf numFmtId="0" fontId="28" fillId="3" borderId="1" xfId="1" applyNumberFormat="1" applyFont="1" applyFill="1" applyBorder="1" applyAlignment="1">
      <alignment horizontal="center" wrapText="1"/>
    </xf>
    <xf numFmtId="0" fontId="29" fillId="0" borderId="1" xfId="0" applyFont="1" applyBorder="1" applyAlignment="1">
      <alignment horizontal="center" wrapText="1"/>
    </xf>
    <xf numFmtId="0" fontId="6" fillId="3" borderId="1" xfId="0" applyFont="1" applyFill="1" applyBorder="1" applyAlignment="1">
      <alignment horizontal="center" wrapText="1"/>
    </xf>
    <xf numFmtId="0" fontId="6" fillId="3" borderId="8" xfId="0" applyFont="1" applyFill="1" applyBorder="1" applyAlignment="1">
      <alignment horizontal="center" wrapText="1"/>
    </xf>
    <xf numFmtId="0" fontId="6" fillId="3" borderId="16" xfId="0" applyFont="1" applyFill="1" applyBorder="1" applyAlignment="1">
      <alignment horizontal="center" wrapText="1"/>
    </xf>
    <xf numFmtId="0" fontId="28" fillId="0" borderId="1" xfId="1" applyNumberFormat="1" applyFont="1" applyFill="1" applyBorder="1" applyAlignment="1">
      <alignment horizontal="center" wrapText="1"/>
    </xf>
    <xf numFmtId="0" fontId="13" fillId="0" borderId="1" xfId="1" applyFont="1" applyBorder="1" applyAlignment="1">
      <alignment horizontal="center" wrapText="1"/>
    </xf>
    <xf numFmtId="0" fontId="13" fillId="0" borderId="1" xfId="0" applyFont="1" applyBorder="1" applyAlignment="1">
      <alignment horizontal="center" wrapText="1"/>
    </xf>
    <xf numFmtId="0" fontId="13" fillId="3" borderId="1" xfId="0" applyFont="1" applyFill="1" applyBorder="1" applyAlignment="1">
      <alignment horizontal="center" wrapText="1"/>
    </xf>
    <xf numFmtId="49" fontId="12" fillId="0" borderId="1" xfId="0" applyNumberFormat="1" applyFont="1" applyBorder="1" applyAlignment="1">
      <alignment horizontal="center" wrapText="1"/>
    </xf>
    <xf numFmtId="0" fontId="30" fillId="0" borderId="1" xfId="0" applyFont="1" applyBorder="1" applyAlignment="1">
      <alignment horizontal="center" wrapText="1"/>
    </xf>
    <xf numFmtId="0" fontId="30" fillId="3" borderId="1" xfId="0" applyFont="1" applyFill="1" applyBorder="1" applyAlignment="1">
      <alignment horizontal="center" wrapText="1"/>
    </xf>
    <xf numFmtId="0" fontId="12" fillId="3" borderId="8" xfId="0" applyFont="1" applyFill="1" applyBorder="1" applyAlignment="1">
      <alignment horizontal="center" wrapText="1"/>
    </xf>
    <xf numFmtId="0" fontId="28" fillId="0" borderId="1" xfId="0" applyFont="1" applyBorder="1" applyAlignment="1">
      <alignment horizontal="center" wrapText="1"/>
    </xf>
    <xf numFmtId="4" fontId="28" fillId="3" borderId="1" xfId="1" applyNumberFormat="1" applyFont="1" applyFill="1" applyBorder="1" applyAlignment="1">
      <alignment horizontal="center"/>
    </xf>
    <xf numFmtId="4" fontId="28" fillId="3" borderId="1" xfId="1" applyNumberFormat="1" applyFont="1" applyFill="1" applyBorder="1" applyAlignment="1">
      <alignment horizontal="center" wrapText="1"/>
    </xf>
    <xf numFmtId="0" fontId="28" fillId="3" borderId="1" xfId="1" applyFont="1" applyFill="1" applyBorder="1" applyAlignment="1">
      <alignment horizontal="center" wrapText="1"/>
    </xf>
    <xf numFmtId="166" fontId="28" fillId="3" borderId="1" xfId="1" applyNumberFormat="1" applyFont="1" applyFill="1" applyBorder="1" applyAlignment="1">
      <alignment horizontal="center"/>
    </xf>
    <xf numFmtId="0" fontId="28" fillId="3" borderId="1" xfId="1" applyFont="1" applyFill="1" applyBorder="1" applyAlignment="1">
      <alignment horizontal="center"/>
    </xf>
    <xf numFmtId="0" fontId="31" fillId="3" borderId="1" xfId="0" applyFont="1" applyFill="1" applyBorder="1" applyAlignment="1">
      <alignment horizont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15" xfId="0" applyFont="1" applyBorder="1" applyAlignment="1">
      <alignment horizontal="left" vertical="center" wrapText="1" shrinkToFit="1"/>
    </xf>
    <xf numFmtId="0" fontId="2" fillId="0" borderId="29" xfId="0" applyFont="1" applyBorder="1" applyAlignment="1">
      <alignment horizontal="left" vertical="center" wrapText="1" shrinkToFit="1"/>
    </xf>
    <xf numFmtId="0" fontId="2" fillId="0" borderId="32" xfId="0" applyFont="1" applyBorder="1" applyAlignment="1">
      <alignment horizontal="left" vertical="center" wrapText="1" shrinkToFit="1"/>
    </xf>
    <xf numFmtId="0" fontId="2" fillId="0" borderId="30" xfId="0" applyFont="1" applyBorder="1" applyAlignment="1">
      <alignment horizontal="left" vertical="center" wrapText="1" shrinkToFit="1"/>
    </xf>
    <xf numFmtId="0" fontId="2" fillId="0" borderId="34" xfId="0" applyFont="1" applyBorder="1" applyAlignment="1">
      <alignment horizontal="left" vertical="center" wrapText="1" shrinkToFit="1"/>
    </xf>
    <xf numFmtId="0" fontId="2" fillId="0" borderId="35" xfId="0" applyFont="1" applyBorder="1" applyAlignment="1">
      <alignment horizontal="left" vertical="center" wrapText="1" shrinkToFit="1"/>
    </xf>
    <xf numFmtId="0" fontId="2" fillId="0" borderId="36" xfId="0" applyFont="1" applyBorder="1" applyAlignment="1">
      <alignment horizontal="left" vertical="center" wrapText="1" shrinkToFit="1"/>
    </xf>
    <xf numFmtId="0" fontId="2" fillId="0" borderId="5" xfId="0" applyFont="1" applyBorder="1" applyAlignment="1">
      <alignment horizontal="center" vertical="center" wrapText="1" shrinkToFit="1"/>
    </xf>
    <xf numFmtId="0" fontId="2" fillId="0" borderId="15" xfId="0" applyFont="1" applyBorder="1" applyAlignment="1">
      <alignment horizontal="center" vertical="center" wrapText="1" shrinkToFit="1"/>
    </xf>
    <xf numFmtId="0" fontId="2" fillId="0" borderId="26" xfId="0" applyFont="1" applyBorder="1" applyAlignment="1">
      <alignment horizontal="center" vertical="center" wrapText="1" shrinkToFit="1"/>
    </xf>
    <xf numFmtId="0" fontId="2" fillId="0" borderId="39" xfId="0" applyFont="1" applyBorder="1" applyAlignment="1">
      <alignment horizontal="center" vertical="center" wrapText="1" shrinkToFi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shrinkToFit="1"/>
    </xf>
    <xf numFmtId="0" fontId="2" fillId="0" borderId="35" xfId="0" applyFont="1" applyBorder="1" applyAlignment="1">
      <alignment horizontal="center" vertical="center" wrapText="1" shrinkToFit="1"/>
    </xf>
    <xf numFmtId="0" fontId="2" fillId="0" borderId="36" xfId="0" applyFont="1" applyBorder="1" applyAlignment="1">
      <alignment horizontal="center" vertical="center" wrapText="1" shrinkToFit="1"/>
    </xf>
    <xf numFmtId="0" fontId="2" fillId="0" borderId="31"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8" xfId="0" applyFont="1" applyBorder="1" applyAlignment="1">
      <alignment horizontal="center" vertical="center" wrapText="1" shrinkToFit="1"/>
    </xf>
    <xf numFmtId="0" fontId="11" fillId="0" borderId="0" xfId="0" applyFont="1" applyAlignment="1">
      <alignment horizontal="center" vertical="center" wrapText="1" shrinkToFit="1"/>
    </xf>
    <xf numFmtId="0" fontId="2" fillId="0" borderId="0" xfId="0" applyFont="1" applyAlignment="1">
      <alignment horizontal="center" wrapText="1" shrinkToFit="1"/>
    </xf>
    <xf numFmtId="0" fontId="2" fillId="0" borderId="12"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2" fillId="0" borderId="24" xfId="0" applyFont="1" applyBorder="1" applyAlignment="1">
      <alignment horizontal="left" vertical="center" wrapText="1" shrinkToFit="1"/>
    </xf>
    <xf numFmtId="0" fontId="2" fillId="0" borderId="26" xfId="0" applyFont="1" applyBorder="1" applyAlignment="1">
      <alignment horizontal="center" vertical="center" textRotation="90"/>
    </xf>
    <xf numFmtId="0" fontId="2" fillId="0" borderId="27" xfId="0" applyFont="1" applyBorder="1" applyAlignment="1">
      <alignment horizontal="center" vertical="center" textRotation="90"/>
    </xf>
    <xf numFmtId="0" fontId="2" fillId="0" borderId="28" xfId="0" applyFont="1" applyBorder="1" applyAlignment="1">
      <alignment horizontal="center" vertical="center" textRotation="90"/>
    </xf>
    <xf numFmtId="0" fontId="2" fillId="0" borderId="8"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26" xfId="0" applyFont="1" applyBorder="1" applyAlignment="1">
      <alignment horizontal="center" vertical="center" textRotation="90" wrapText="1" shrinkToFit="1"/>
    </xf>
    <xf numFmtId="0" fontId="2" fillId="0" borderId="27" xfId="0" applyFont="1" applyBorder="1" applyAlignment="1">
      <alignment horizontal="center" vertical="center" textRotation="90" wrapText="1" shrinkToFit="1"/>
    </xf>
    <xf numFmtId="0" fontId="2" fillId="0" borderId="28" xfId="0" applyFont="1" applyBorder="1" applyAlignment="1">
      <alignment horizontal="center" vertical="center" textRotation="90" wrapText="1" shrinkToFit="1"/>
    </xf>
    <xf numFmtId="0" fontId="2" fillId="0" borderId="23" xfId="0" applyFont="1" applyBorder="1" applyAlignment="1">
      <alignment horizontal="center" vertical="center" textRotation="90" wrapText="1" shrinkToFit="1"/>
    </xf>
    <xf numFmtId="0" fontId="2" fillId="0" borderId="9" xfId="0" applyFont="1" applyBorder="1" applyAlignment="1">
      <alignment horizontal="center" vertical="center" textRotation="90" wrapText="1" shrinkToFit="1"/>
    </xf>
    <xf numFmtId="0" fontId="2" fillId="0" borderId="22" xfId="0" applyFont="1" applyBorder="1" applyAlignment="1">
      <alignment horizontal="center" vertical="center" textRotation="90" wrapText="1" shrinkToFit="1"/>
    </xf>
    <xf numFmtId="0" fontId="2" fillId="0" borderId="4"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4" xfId="0" applyFont="1" applyBorder="1" applyAlignment="1">
      <alignment horizontal="center" vertical="center" wrapText="1" shrinkToFit="1"/>
    </xf>
    <xf numFmtId="0" fontId="12" fillId="0" borderId="1" xfId="0" applyFont="1" applyBorder="1" applyAlignment="1">
      <alignment wrapText="1"/>
    </xf>
  </cellXfs>
  <cellStyles count="4">
    <cellStyle name="Гиперссылка 2" xfId="2"/>
    <cellStyle name="Обычный" xfId="0" builtinId="0"/>
    <cellStyle name="Обычный 2" xfId="1"/>
    <cellStyle name="Обычный 2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1086;&#1080;%20&#1076;&#1086;&#1082;&#1091;&#1084;&#1077;&#1085;&#1090;&#1099;/&#1058;&#1072;&#1088;&#1080;&#1092;&#1099;/&#1058;&#1072;&#1088;&#1080;&#1092;&#1099;%202013/&#1084;&#1072;&#1090;&#1077;&#1088;&#1080;&#1072;&#1083;&#1099;%20&#1082;%20&#1087;&#1088;&#1086;&#1080;&#1079;.&#1087;&#1088;&#1086;&#1075;&#1088;&#1072;&#1084;&#1084;&#1077;%202013%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мена водоразборных колонок"/>
      <sheetName val="Замена пожарных гидрантов"/>
      <sheetName val="Лист3"/>
      <sheetName val="Лист1"/>
    </sheetNames>
    <sheetDataSet>
      <sheetData sheetId="0" refreshError="1"/>
      <sheetData sheetId="1" refreshError="1"/>
      <sheetData sheetId="2" refreshError="1">
        <row r="4">
          <cell r="F4">
            <v>7880.5119999999988</v>
          </cell>
        </row>
        <row r="5">
          <cell r="F5">
            <v>1038.3999999999999</v>
          </cell>
        </row>
        <row r="6">
          <cell r="F6">
            <v>948.71999999999991</v>
          </cell>
        </row>
        <row r="7">
          <cell r="F7">
            <v>19806.470604399998</v>
          </cell>
        </row>
        <row r="8">
          <cell r="F8">
            <v>11598.972839999999</v>
          </cell>
        </row>
        <row r="9">
          <cell r="F9">
            <v>6482.4037499999995</v>
          </cell>
        </row>
        <row r="11">
          <cell r="F11">
            <v>229301.02129199999</v>
          </cell>
        </row>
        <row r="12">
          <cell r="F12">
            <v>477.07992359999997</v>
          </cell>
        </row>
        <row r="13">
          <cell r="F13">
            <v>26196.10974</v>
          </cell>
        </row>
        <row r="14">
          <cell r="F14">
            <v>18744.3</v>
          </cell>
        </row>
        <row r="15">
          <cell r="F15">
            <v>6560.5049999999992</v>
          </cell>
        </row>
        <row r="16">
          <cell r="F16">
            <v>3494.4991999999997</v>
          </cell>
        </row>
        <row r="17">
          <cell r="F17">
            <v>1024.6884</v>
          </cell>
        </row>
        <row r="18">
          <cell r="F18">
            <v>1743.2729999999999</v>
          </cell>
        </row>
        <row r="19">
          <cell r="F19">
            <v>10004.467867999998</v>
          </cell>
        </row>
        <row r="20">
          <cell r="F20">
            <v>905.33140000000003</v>
          </cell>
        </row>
        <row r="21">
          <cell r="F21">
            <v>175442.4</v>
          </cell>
        </row>
        <row r="22">
          <cell r="F22">
            <v>7080</v>
          </cell>
        </row>
        <row r="23">
          <cell r="F23">
            <v>2301</v>
          </cell>
        </row>
        <row r="24">
          <cell r="F24">
            <v>2194.7999999999997</v>
          </cell>
        </row>
        <row r="25">
          <cell r="F25">
            <v>9440</v>
          </cell>
        </row>
        <row r="26">
          <cell r="F26">
            <v>12965.84</v>
          </cell>
        </row>
        <row r="27">
          <cell r="F27">
            <v>1749.4679999999998</v>
          </cell>
        </row>
        <row r="28">
          <cell r="F28">
            <v>12224.407649999999</v>
          </cell>
        </row>
        <row r="29">
          <cell r="F29">
            <v>1619.9039999999998</v>
          </cell>
        </row>
        <row r="30">
          <cell r="F30">
            <v>2507.5</v>
          </cell>
        </row>
        <row r="31">
          <cell r="F31">
            <v>5498.3280000000004</v>
          </cell>
        </row>
        <row r="32">
          <cell r="F32">
            <v>89972.64</v>
          </cell>
        </row>
        <row r="33">
          <cell r="F33">
            <v>53585.758800000003</v>
          </cell>
        </row>
        <row r="34">
          <cell r="F34">
            <v>28724.267999999996</v>
          </cell>
        </row>
        <row r="35">
          <cell r="F35">
            <v>37488.6</v>
          </cell>
        </row>
        <row r="36">
          <cell r="F36">
            <v>48401.711999999992</v>
          </cell>
        </row>
        <row r="37">
          <cell r="F37">
            <v>52484.039999999994</v>
          </cell>
        </row>
        <row r="38">
          <cell r="F38">
            <v>12371.237999999999</v>
          </cell>
        </row>
        <row r="39">
          <cell r="F39">
            <v>146205.53999999998</v>
          </cell>
        </row>
        <row r="40">
          <cell r="F40">
            <v>7709.5063999999993</v>
          </cell>
        </row>
        <row r="41">
          <cell r="F41">
            <v>59544.923999999992</v>
          </cell>
        </row>
        <row r="42">
          <cell r="F42">
            <v>25601.279999999999</v>
          </cell>
        </row>
        <row r="43">
          <cell r="F43">
            <v>41545.439999999995</v>
          </cell>
        </row>
        <row r="44">
          <cell r="F44">
            <v>46124.784</v>
          </cell>
        </row>
        <row r="45">
          <cell r="F45">
            <v>13383.430199999999</v>
          </cell>
        </row>
        <row r="46">
          <cell r="F46">
            <v>17474.686079999999</v>
          </cell>
        </row>
        <row r="47">
          <cell r="F47">
            <v>12996.755999999999</v>
          </cell>
        </row>
        <row r="48">
          <cell r="F48">
            <v>998.28</v>
          </cell>
        </row>
        <row r="49">
          <cell r="F49">
            <v>313.40799999999996</v>
          </cell>
        </row>
        <row r="50">
          <cell r="F50">
            <v>450.28799999999995</v>
          </cell>
        </row>
        <row r="51">
          <cell r="F51">
            <v>951.55199999999991</v>
          </cell>
        </row>
        <row r="52">
          <cell r="F52">
            <v>777.85599999999999</v>
          </cell>
        </row>
        <row r="53">
          <cell r="F53">
            <v>215934.33599999998</v>
          </cell>
        </row>
        <row r="54">
          <cell r="F54">
            <v>181069.93799999997</v>
          </cell>
        </row>
        <row r="55">
          <cell r="F55">
            <v>36988.752</v>
          </cell>
        </row>
        <row r="56">
          <cell r="F56">
            <v>16744.907999999999</v>
          </cell>
        </row>
        <row r="57">
          <cell r="F57">
            <v>3748.8599999999997</v>
          </cell>
        </row>
        <row r="58">
          <cell r="F58">
            <v>2360</v>
          </cell>
        </row>
        <row r="59">
          <cell r="F59">
            <v>1895.6699999999998</v>
          </cell>
        </row>
        <row r="60">
          <cell r="F60">
            <v>5386.9518686399988</v>
          </cell>
        </row>
        <row r="61">
          <cell r="F61">
            <v>4783.4250000000002</v>
          </cell>
        </row>
        <row r="62">
          <cell r="F62">
            <v>3592.5325379999999</v>
          </cell>
        </row>
        <row r="63">
          <cell r="F63">
            <v>722.46679999999992</v>
          </cell>
        </row>
        <row r="64">
          <cell r="F64">
            <v>54233.507999999994</v>
          </cell>
        </row>
        <row r="65">
          <cell r="F65">
            <v>27704.575247999994</v>
          </cell>
        </row>
        <row r="66">
          <cell r="F66">
            <v>6323.0772000000006</v>
          </cell>
        </row>
        <row r="67">
          <cell r="F67">
            <v>22567.5</v>
          </cell>
        </row>
        <row r="68">
          <cell r="F68">
            <v>5098.4495999999999</v>
          </cell>
        </row>
        <row r="69">
          <cell r="F69">
            <v>727554.11040000001</v>
          </cell>
        </row>
        <row r="70">
          <cell r="F70">
            <v>8512.1659999999993</v>
          </cell>
        </row>
        <row r="71">
          <cell r="F71">
            <v>4800.24</v>
          </cell>
        </row>
        <row r="72">
          <cell r="F72">
            <v>10071.937199999998</v>
          </cell>
        </row>
        <row r="73">
          <cell r="F73">
            <v>254922.47999999998</v>
          </cell>
        </row>
        <row r="74">
          <cell r="F74">
            <v>5352.48</v>
          </cell>
        </row>
        <row r="75">
          <cell r="F75">
            <v>17197.32</v>
          </cell>
        </row>
        <row r="76">
          <cell r="F76">
            <v>29990.879999999997</v>
          </cell>
        </row>
        <row r="77">
          <cell r="F77">
            <v>3492.6111999999998</v>
          </cell>
        </row>
        <row r="78">
          <cell r="F78">
            <v>2473.9879999999998</v>
          </cell>
        </row>
        <row r="79">
          <cell r="F79">
            <v>56.64</v>
          </cell>
        </row>
        <row r="80">
          <cell r="F80">
            <v>86.14</v>
          </cell>
        </row>
        <row r="81">
          <cell r="F81">
            <v>118</v>
          </cell>
        </row>
        <row r="82">
          <cell r="F82">
            <v>743.1167999999999</v>
          </cell>
        </row>
        <row r="83">
          <cell r="F83">
            <v>431.40800000000002</v>
          </cell>
        </row>
        <row r="84">
          <cell r="F84">
            <v>14160</v>
          </cell>
        </row>
        <row r="85">
          <cell r="F85">
            <v>10871.693999999998</v>
          </cell>
        </row>
        <row r="86">
          <cell r="F86">
            <v>21368.502</v>
          </cell>
        </row>
        <row r="87">
          <cell r="F87">
            <v>56.64</v>
          </cell>
        </row>
        <row r="88">
          <cell r="F88">
            <v>145.13999999999999</v>
          </cell>
        </row>
        <row r="89">
          <cell r="F89">
            <v>4251.1859999999997</v>
          </cell>
        </row>
        <row r="90">
          <cell r="F90">
            <v>7018.8759999999993</v>
          </cell>
        </row>
        <row r="91">
          <cell r="F91">
            <v>44986.32</v>
          </cell>
        </row>
        <row r="92">
          <cell r="F92">
            <v>16395.0144</v>
          </cell>
        </row>
        <row r="93">
          <cell r="F93">
            <v>43486.775999999991</v>
          </cell>
        </row>
        <row r="94">
          <cell r="F94">
            <v>11404.699999999999</v>
          </cell>
        </row>
        <row r="95">
          <cell r="F95">
            <v>6900.6399999999994</v>
          </cell>
        </row>
        <row r="96">
          <cell r="F96">
            <v>4875.7599999999993</v>
          </cell>
        </row>
        <row r="97">
          <cell r="F97">
            <v>234.82</v>
          </cell>
        </row>
        <row r="98">
          <cell r="F98">
            <v>14159.243619999999</v>
          </cell>
        </row>
        <row r="99">
          <cell r="F99">
            <v>174696.87599999996</v>
          </cell>
        </row>
        <row r="100">
          <cell r="F100">
            <v>262420.2</v>
          </cell>
        </row>
        <row r="101">
          <cell r="F101">
            <v>21264.732799999998</v>
          </cell>
        </row>
        <row r="102">
          <cell r="F102">
            <v>26580.915999999994</v>
          </cell>
        </row>
        <row r="103">
          <cell r="F103">
            <v>23600</v>
          </cell>
        </row>
        <row r="104">
          <cell r="F104">
            <v>73602.617999999988</v>
          </cell>
        </row>
        <row r="105">
          <cell r="F105">
            <v>19494.072</v>
          </cell>
        </row>
        <row r="106">
          <cell r="F106">
            <v>10277.624651999999</v>
          </cell>
        </row>
        <row r="107">
          <cell r="F107">
            <v>1234.28</v>
          </cell>
        </row>
        <row r="108">
          <cell r="F108">
            <v>4427.6904000000004</v>
          </cell>
        </row>
        <row r="109">
          <cell r="F109">
            <v>970.80959999999993</v>
          </cell>
        </row>
        <row r="110">
          <cell r="F110">
            <v>28264.964837759995</v>
          </cell>
        </row>
        <row r="111">
          <cell r="F111">
            <v>35400</v>
          </cell>
        </row>
        <row r="112">
          <cell r="F112">
            <v>1581.3887999999999</v>
          </cell>
        </row>
        <row r="113">
          <cell r="F113">
            <v>6495.5223999999998</v>
          </cell>
        </row>
        <row r="114">
          <cell r="F114">
            <v>14280.359999999999</v>
          </cell>
        </row>
        <row r="115">
          <cell r="F115">
            <v>323.90999999999997</v>
          </cell>
        </row>
        <row r="116">
          <cell r="F116">
            <v>2749.1639999999998</v>
          </cell>
        </row>
        <row r="117">
          <cell r="F117">
            <v>39987.839999999997</v>
          </cell>
        </row>
        <row r="118">
          <cell r="F118">
            <v>70800.236000000004</v>
          </cell>
        </row>
        <row r="119">
          <cell r="F119">
            <v>377600</v>
          </cell>
        </row>
        <row r="120">
          <cell r="F120">
            <v>4628.5370199999988</v>
          </cell>
        </row>
        <row r="121">
          <cell r="F121">
            <v>531653.49580000003</v>
          </cell>
        </row>
        <row r="122">
          <cell r="F122">
            <v>8257.4889599999988</v>
          </cell>
        </row>
        <row r="123">
          <cell r="F123">
            <v>12596.169599999999</v>
          </cell>
        </row>
        <row r="124">
          <cell r="F124">
            <v>4684575.4559999993</v>
          </cell>
        </row>
        <row r="125">
          <cell r="F125">
            <v>6634.4319999999989</v>
          </cell>
        </row>
        <row r="126">
          <cell r="F126">
            <v>17061.6908</v>
          </cell>
        </row>
        <row r="127">
          <cell r="F127">
            <v>5073.4571999999998</v>
          </cell>
        </row>
        <row r="128">
          <cell r="F128">
            <v>133903.77804</v>
          </cell>
        </row>
        <row r="129">
          <cell r="F129">
            <v>2369.4399999999996</v>
          </cell>
        </row>
        <row r="130">
          <cell r="F130">
            <v>37052</v>
          </cell>
        </row>
        <row r="131">
          <cell r="F131">
            <v>405.50168999999994</v>
          </cell>
        </row>
        <row r="132">
          <cell r="F132">
            <v>34989.360000000001</v>
          </cell>
        </row>
        <row r="133">
          <cell r="F133">
            <v>17713.275000000001</v>
          </cell>
        </row>
        <row r="134">
          <cell r="F134">
            <v>12604.17</v>
          </cell>
        </row>
        <row r="135">
          <cell r="F135">
            <v>42187.171200000019</v>
          </cell>
        </row>
        <row r="136">
          <cell r="F136">
            <v>20897.800000000003</v>
          </cell>
        </row>
        <row r="137">
          <cell r="F137">
            <v>23878.687679999999</v>
          </cell>
        </row>
        <row r="138">
          <cell r="F138">
            <v>17433.650399999999</v>
          </cell>
        </row>
        <row r="139">
          <cell r="F139">
            <v>71508</v>
          </cell>
        </row>
        <row r="140">
          <cell r="F140">
            <v>472</v>
          </cell>
        </row>
        <row r="141">
          <cell r="F141">
            <v>5900</v>
          </cell>
        </row>
        <row r="142">
          <cell r="F142">
            <v>10016.541545399999</v>
          </cell>
        </row>
        <row r="143">
          <cell r="F143">
            <v>3199.0272000000004</v>
          </cell>
        </row>
        <row r="144">
          <cell r="F144">
            <v>9916.2479999999996</v>
          </cell>
        </row>
        <row r="145">
          <cell r="F145">
            <v>3465.4311885599996</v>
          </cell>
        </row>
        <row r="146">
          <cell r="F146">
            <v>18445.640820000001</v>
          </cell>
        </row>
        <row r="147">
          <cell r="F147">
            <v>35400</v>
          </cell>
        </row>
        <row r="148">
          <cell r="F148">
            <v>22805.86</v>
          </cell>
        </row>
        <row r="149">
          <cell r="F149">
            <v>22436.814999999999</v>
          </cell>
        </row>
        <row r="150">
          <cell r="F150">
            <v>5664</v>
          </cell>
        </row>
        <row r="151">
          <cell r="F151">
            <v>15062.912399999999</v>
          </cell>
        </row>
        <row r="152">
          <cell r="F152">
            <v>10006.4</v>
          </cell>
        </row>
        <row r="153">
          <cell r="F153">
            <v>14245.668</v>
          </cell>
        </row>
        <row r="154">
          <cell r="F154">
            <v>3304.944</v>
          </cell>
        </row>
        <row r="155">
          <cell r="F155">
            <v>8897.2943999999989</v>
          </cell>
        </row>
        <row r="156">
          <cell r="F156">
            <v>4672.8</v>
          </cell>
        </row>
        <row r="157">
          <cell r="F157">
            <v>14172.491374272</v>
          </cell>
        </row>
        <row r="158">
          <cell r="F158">
            <v>19445.336819999997</v>
          </cell>
        </row>
        <row r="159">
          <cell r="F159">
            <v>9660.66</v>
          </cell>
        </row>
        <row r="160">
          <cell r="F160">
            <v>28378.763999999999</v>
          </cell>
        </row>
        <row r="161">
          <cell r="F161">
            <v>59000</v>
          </cell>
        </row>
        <row r="162">
          <cell r="F162">
            <v>151040</v>
          </cell>
        </row>
        <row r="163">
          <cell r="F163">
            <v>15560.822071584</v>
          </cell>
        </row>
        <row r="164">
          <cell r="F164">
            <v>1945.2084767999997</v>
          </cell>
        </row>
        <row r="165">
          <cell r="F165">
            <v>162450.6</v>
          </cell>
        </row>
        <row r="166">
          <cell r="F166">
            <v>99969.599999999991</v>
          </cell>
        </row>
        <row r="167">
          <cell r="F167">
            <v>1083712</v>
          </cell>
        </row>
        <row r="168">
          <cell r="F168">
            <v>349280</v>
          </cell>
        </row>
      </sheetData>
      <sheetData sheetId="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58"/>
  <sheetViews>
    <sheetView tabSelected="1" view="pageBreakPreview" topLeftCell="A272" zoomScale="60" zoomScaleNormal="100" workbookViewId="0">
      <selection activeCell="D280" sqref="D280"/>
    </sheetView>
  </sheetViews>
  <sheetFormatPr defaultRowHeight="15"/>
  <cols>
    <col min="1" max="1" width="5" style="14" customWidth="1"/>
    <col min="2" max="2" width="7.7109375" style="14" customWidth="1"/>
    <col min="3" max="3" width="8.42578125" style="14" customWidth="1"/>
    <col min="4" max="4" width="33.7109375" style="32" customWidth="1"/>
    <col min="5" max="5" width="49.5703125" style="32" customWidth="1"/>
    <col min="6" max="6" width="9.42578125" style="32" customWidth="1"/>
    <col min="7" max="7" width="10.140625" style="13" customWidth="1"/>
    <col min="8" max="8" width="12.7109375" style="13" customWidth="1"/>
    <col min="9" max="9" width="6.42578125" style="13" customWidth="1"/>
    <col min="10" max="10" width="16.42578125" style="13" customWidth="1"/>
    <col min="11" max="11" width="15" style="13" customWidth="1"/>
    <col min="12" max="12" width="12.7109375" style="33" customWidth="1"/>
    <col min="13" max="13" width="12" style="13" customWidth="1"/>
    <col min="14" max="14" width="11.42578125" style="13" customWidth="1"/>
    <col min="15" max="15" width="12.140625" style="13" customWidth="1"/>
    <col min="16" max="16" width="9.140625" style="14"/>
    <col min="17" max="17" width="24.5703125" style="14" customWidth="1"/>
    <col min="18" max="16384" width="9.140625" style="14"/>
  </cols>
  <sheetData>
    <row r="1" spans="1:26">
      <c r="B1" s="10"/>
      <c r="C1" s="10"/>
      <c r="D1" s="11"/>
      <c r="E1" s="11"/>
      <c r="F1" s="11"/>
      <c r="G1" s="10"/>
      <c r="H1" s="10"/>
      <c r="I1" s="10"/>
      <c r="J1" s="10"/>
      <c r="K1" s="10"/>
      <c r="L1" s="12"/>
      <c r="M1" s="10"/>
      <c r="N1" s="10"/>
      <c r="O1" s="10"/>
      <c r="P1" s="10"/>
      <c r="Q1" s="10"/>
      <c r="R1" s="10"/>
      <c r="S1" s="10"/>
      <c r="T1" s="10"/>
      <c r="U1" s="10"/>
      <c r="V1" s="10"/>
      <c r="W1" s="10"/>
      <c r="X1" s="10"/>
      <c r="Y1" s="10"/>
      <c r="Z1" s="13"/>
    </row>
    <row r="2" spans="1:26" ht="18.75" customHeight="1">
      <c r="B2" s="180" t="s">
        <v>25</v>
      </c>
      <c r="C2" s="180"/>
      <c r="D2" s="180"/>
      <c r="E2" s="180"/>
      <c r="F2" s="180"/>
      <c r="G2" s="180"/>
      <c r="H2" s="180"/>
      <c r="I2" s="180"/>
      <c r="J2" s="180"/>
      <c r="K2" s="180"/>
      <c r="L2" s="180"/>
      <c r="M2" s="180"/>
      <c r="N2" s="180"/>
      <c r="O2" s="180"/>
      <c r="P2" s="10"/>
      <c r="Q2" s="10"/>
      <c r="R2" s="10"/>
      <c r="S2" s="10"/>
      <c r="T2" s="10"/>
      <c r="U2" s="10"/>
      <c r="V2" s="10"/>
      <c r="W2" s="10"/>
      <c r="X2" s="10"/>
      <c r="Y2" s="10"/>
      <c r="Z2" s="13"/>
    </row>
    <row r="3" spans="1:26" ht="15" customHeight="1">
      <c r="B3" s="181" t="s">
        <v>373</v>
      </c>
      <c r="C3" s="181"/>
      <c r="D3" s="181"/>
      <c r="E3" s="181"/>
      <c r="F3" s="181"/>
      <c r="G3" s="181"/>
      <c r="H3" s="181"/>
      <c r="I3" s="181"/>
      <c r="J3" s="181"/>
      <c r="K3" s="181"/>
      <c r="L3" s="181"/>
      <c r="M3" s="181"/>
      <c r="N3" s="181"/>
      <c r="O3" s="181"/>
      <c r="P3" s="10"/>
      <c r="Q3" s="10"/>
      <c r="R3" s="10"/>
      <c r="S3" s="10"/>
      <c r="T3" s="10"/>
      <c r="U3" s="10"/>
      <c r="V3" s="10"/>
      <c r="W3" s="10"/>
      <c r="X3" s="10"/>
      <c r="Y3" s="10"/>
      <c r="Z3" s="13"/>
    </row>
    <row r="4" spans="1:26" ht="15.75" thickBot="1">
      <c r="B4" s="10"/>
      <c r="C4" s="10"/>
      <c r="D4" s="11"/>
      <c r="E4" s="11"/>
      <c r="F4" s="11"/>
      <c r="G4" s="10"/>
      <c r="H4" s="10"/>
      <c r="I4" s="10"/>
      <c r="J4" s="10"/>
      <c r="K4" s="10"/>
      <c r="L4" s="12"/>
      <c r="M4" s="10"/>
      <c r="N4" s="10"/>
      <c r="O4" s="10"/>
      <c r="P4" s="10"/>
      <c r="Q4" s="10"/>
      <c r="R4" s="10"/>
      <c r="S4" s="10"/>
      <c r="T4" s="10"/>
      <c r="U4" s="10"/>
      <c r="V4" s="10"/>
      <c r="W4" s="10"/>
      <c r="X4" s="10"/>
      <c r="Y4" s="10"/>
      <c r="Z4" s="13"/>
    </row>
    <row r="5" spans="1:26" ht="15" customHeight="1">
      <c r="A5" s="182" t="s">
        <v>6</v>
      </c>
      <c r="B5" s="183"/>
      <c r="C5" s="183"/>
      <c r="D5" s="183"/>
      <c r="E5" s="184"/>
      <c r="F5" s="152" t="s">
        <v>26</v>
      </c>
      <c r="G5" s="153"/>
      <c r="H5" s="153"/>
      <c r="I5" s="153"/>
      <c r="J5" s="153"/>
      <c r="K5" s="153"/>
      <c r="L5" s="153"/>
      <c r="M5" s="153"/>
      <c r="N5" s="153"/>
      <c r="O5" s="154"/>
      <c r="P5" s="10"/>
      <c r="Q5" s="10"/>
      <c r="R5" s="10"/>
      <c r="S5" s="10"/>
      <c r="T5" s="10"/>
      <c r="U5" s="10"/>
      <c r="V5" s="10"/>
      <c r="W5" s="10"/>
      <c r="X5" s="10"/>
      <c r="Y5" s="10"/>
      <c r="Z5" s="13"/>
    </row>
    <row r="6" spans="1:26" ht="15" customHeight="1">
      <c r="A6" s="158" t="s">
        <v>418</v>
      </c>
      <c r="B6" s="159"/>
      <c r="C6" s="159"/>
      <c r="D6" s="159"/>
      <c r="E6" s="160"/>
      <c r="F6" s="155" t="s">
        <v>27</v>
      </c>
      <c r="G6" s="156"/>
      <c r="H6" s="156"/>
      <c r="I6" s="156"/>
      <c r="J6" s="156"/>
      <c r="K6" s="156"/>
      <c r="L6" s="156"/>
      <c r="M6" s="156"/>
      <c r="N6" s="156"/>
      <c r="O6" s="157"/>
      <c r="P6" s="10"/>
      <c r="Q6" s="10"/>
      <c r="R6" s="10"/>
      <c r="S6" s="10"/>
      <c r="T6" s="10"/>
      <c r="U6" s="10"/>
      <c r="V6" s="10"/>
      <c r="W6" s="10"/>
      <c r="X6" s="10"/>
      <c r="Y6" s="10"/>
      <c r="Z6" s="13"/>
    </row>
    <row r="7" spans="1:26" ht="15" customHeight="1">
      <c r="A7" s="158" t="s">
        <v>419</v>
      </c>
      <c r="B7" s="159"/>
      <c r="C7" s="159"/>
      <c r="D7" s="159"/>
      <c r="E7" s="160"/>
      <c r="F7" s="155" t="s">
        <v>421</v>
      </c>
      <c r="G7" s="156"/>
      <c r="H7" s="156"/>
      <c r="I7" s="156"/>
      <c r="J7" s="156"/>
      <c r="K7" s="156"/>
      <c r="L7" s="156"/>
      <c r="M7" s="156"/>
      <c r="N7" s="156"/>
      <c r="O7" s="157"/>
      <c r="P7" s="10"/>
      <c r="Q7" s="10"/>
      <c r="R7" s="10"/>
      <c r="S7" s="10"/>
      <c r="T7" s="10"/>
      <c r="U7" s="10"/>
      <c r="V7" s="10"/>
      <c r="W7" s="10"/>
      <c r="X7" s="10"/>
      <c r="Y7" s="10"/>
      <c r="Z7" s="13"/>
    </row>
    <row r="8" spans="1:26" ht="15" customHeight="1">
      <c r="A8" s="158" t="s">
        <v>420</v>
      </c>
      <c r="B8" s="159"/>
      <c r="C8" s="159"/>
      <c r="D8" s="159"/>
      <c r="E8" s="160"/>
      <c r="F8" s="155" t="s">
        <v>422</v>
      </c>
      <c r="G8" s="156"/>
      <c r="H8" s="156"/>
      <c r="I8" s="156"/>
      <c r="J8" s="156"/>
      <c r="K8" s="156"/>
      <c r="L8" s="156"/>
      <c r="M8" s="156"/>
      <c r="N8" s="156"/>
      <c r="O8" s="157"/>
      <c r="P8" s="10"/>
      <c r="Q8" s="10"/>
      <c r="R8" s="10"/>
      <c r="S8" s="10"/>
      <c r="T8" s="10"/>
      <c r="U8" s="10"/>
      <c r="V8" s="10"/>
      <c r="W8" s="10"/>
      <c r="X8" s="10"/>
      <c r="Y8" s="10"/>
      <c r="Z8" s="13"/>
    </row>
    <row r="9" spans="1:26">
      <c r="A9" s="158" t="s">
        <v>7</v>
      </c>
      <c r="B9" s="159"/>
      <c r="C9" s="159"/>
      <c r="D9" s="159"/>
      <c r="E9" s="160"/>
      <c r="F9" s="155">
        <v>4802011639</v>
      </c>
      <c r="G9" s="156"/>
      <c r="H9" s="156"/>
      <c r="I9" s="156"/>
      <c r="J9" s="156"/>
      <c r="K9" s="156"/>
      <c r="L9" s="156"/>
      <c r="M9" s="156"/>
      <c r="N9" s="156"/>
      <c r="O9" s="157"/>
      <c r="P9" s="10"/>
      <c r="Q9" s="10"/>
      <c r="R9" s="10"/>
      <c r="S9" s="10"/>
      <c r="T9" s="10"/>
      <c r="U9" s="10"/>
      <c r="V9" s="10"/>
      <c r="W9" s="10"/>
      <c r="X9" s="10"/>
      <c r="Y9" s="10"/>
      <c r="Z9" s="13"/>
    </row>
    <row r="10" spans="1:26" ht="15.75" thickBot="1">
      <c r="A10" s="161" t="s">
        <v>423</v>
      </c>
      <c r="B10" s="162"/>
      <c r="C10" s="162"/>
      <c r="D10" s="162"/>
      <c r="E10" s="163"/>
      <c r="F10" s="171">
        <v>480201001</v>
      </c>
      <c r="G10" s="172"/>
      <c r="H10" s="172"/>
      <c r="I10" s="172"/>
      <c r="J10" s="172"/>
      <c r="K10" s="172"/>
      <c r="L10" s="172"/>
      <c r="M10" s="172"/>
      <c r="N10" s="172"/>
      <c r="O10" s="173"/>
      <c r="P10" s="10"/>
      <c r="Q10" s="10"/>
      <c r="R10" s="10"/>
      <c r="S10" s="10"/>
      <c r="T10" s="10"/>
      <c r="U10" s="10"/>
      <c r="V10" s="10"/>
      <c r="W10" s="10"/>
      <c r="X10" s="10"/>
      <c r="Y10" s="10"/>
      <c r="Z10" s="13"/>
    </row>
    <row r="11" spans="1:26" ht="15.75" customHeight="1" thickBot="1">
      <c r="A11" s="164" t="s">
        <v>8</v>
      </c>
      <c r="B11" s="165"/>
      <c r="C11" s="165"/>
      <c r="D11" s="165"/>
      <c r="E11" s="166"/>
      <c r="F11" s="174">
        <v>42206501000</v>
      </c>
      <c r="G11" s="175"/>
      <c r="H11" s="175"/>
      <c r="I11" s="175"/>
      <c r="J11" s="175"/>
      <c r="K11" s="175"/>
      <c r="L11" s="175"/>
      <c r="M11" s="175"/>
      <c r="N11" s="175"/>
      <c r="O11" s="176"/>
      <c r="P11" s="10"/>
      <c r="Q11" s="10"/>
      <c r="R11" s="10"/>
      <c r="S11" s="10"/>
      <c r="T11" s="10"/>
      <c r="U11" s="10"/>
      <c r="V11" s="10"/>
      <c r="W11" s="10"/>
      <c r="X11" s="10"/>
      <c r="Y11" s="10"/>
      <c r="Z11" s="13"/>
    </row>
    <row r="12" spans="1:26" ht="15.75" customHeight="1" thickBot="1">
      <c r="A12" s="114"/>
      <c r="B12" s="110"/>
      <c r="C12" s="110"/>
      <c r="D12" s="110"/>
      <c r="E12" s="110"/>
      <c r="F12" s="113"/>
      <c r="G12" s="113"/>
      <c r="H12" s="113"/>
      <c r="I12" s="113"/>
      <c r="J12" s="113"/>
      <c r="K12" s="113"/>
      <c r="L12" s="113"/>
      <c r="M12" s="113"/>
      <c r="N12" s="113"/>
      <c r="O12" s="113"/>
      <c r="P12" s="10"/>
      <c r="Q12" s="10"/>
      <c r="R12" s="10"/>
      <c r="S12" s="10"/>
      <c r="T12" s="10"/>
      <c r="U12" s="10"/>
      <c r="V12" s="10"/>
      <c r="W12" s="10"/>
      <c r="X12" s="10"/>
      <c r="Y12" s="10"/>
      <c r="Z12" s="13"/>
    </row>
    <row r="13" spans="1:26" ht="15" customHeight="1">
      <c r="A13" s="185" t="s">
        <v>424</v>
      </c>
      <c r="B13" s="190" t="s">
        <v>425</v>
      </c>
      <c r="C13" s="193" t="s">
        <v>426</v>
      </c>
      <c r="D13" s="196" t="s">
        <v>0</v>
      </c>
      <c r="E13" s="197"/>
      <c r="F13" s="197"/>
      <c r="G13" s="197"/>
      <c r="H13" s="197"/>
      <c r="I13" s="197"/>
      <c r="J13" s="197"/>
      <c r="K13" s="197"/>
      <c r="L13" s="197"/>
      <c r="M13" s="198"/>
      <c r="N13" s="177" t="s">
        <v>434</v>
      </c>
      <c r="O13" s="169" t="s">
        <v>435</v>
      </c>
      <c r="P13" s="10"/>
      <c r="Q13" s="10"/>
      <c r="R13" s="10"/>
      <c r="S13" s="10"/>
      <c r="T13" s="10"/>
      <c r="U13" s="10"/>
      <c r="V13" s="10"/>
      <c r="W13" s="10"/>
      <c r="X13" s="10"/>
      <c r="Y13" s="10"/>
      <c r="Z13" s="13"/>
    </row>
    <row r="14" spans="1:26" ht="48" customHeight="1">
      <c r="A14" s="186"/>
      <c r="B14" s="191"/>
      <c r="C14" s="194"/>
      <c r="D14" s="188" t="s">
        <v>427</v>
      </c>
      <c r="E14" s="188" t="s">
        <v>428</v>
      </c>
      <c r="F14" s="167" t="s">
        <v>1</v>
      </c>
      <c r="G14" s="168"/>
      <c r="H14" s="188" t="s">
        <v>2</v>
      </c>
      <c r="I14" s="167" t="s">
        <v>431</v>
      </c>
      <c r="J14" s="168"/>
      <c r="K14" s="188" t="s">
        <v>433</v>
      </c>
      <c r="L14" s="167" t="s">
        <v>3</v>
      </c>
      <c r="M14" s="168"/>
      <c r="N14" s="178"/>
      <c r="O14" s="170"/>
      <c r="P14" s="10"/>
      <c r="Q14" s="10"/>
      <c r="R14" s="10"/>
      <c r="S14" s="10"/>
      <c r="T14" s="10"/>
      <c r="U14" s="10"/>
      <c r="V14" s="10"/>
      <c r="W14" s="10"/>
      <c r="X14" s="10"/>
      <c r="Y14" s="10"/>
      <c r="Z14" s="13"/>
    </row>
    <row r="15" spans="1:26" ht="109.5" customHeight="1" thickBot="1">
      <c r="A15" s="187"/>
      <c r="B15" s="192"/>
      <c r="C15" s="195"/>
      <c r="D15" s="189"/>
      <c r="E15" s="189"/>
      <c r="F15" s="111" t="s">
        <v>429</v>
      </c>
      <c r="G15" s="111" t="s">
        <v>430</v>
      </c>
      <c r="H15" s="189"/>
      <c r="I15" s="111" t="s">
        <v>432</v>
      </c>
      <c r="J15" s="111" t="s">
        <v>430</v>
      </c>
      <c r="K15" s="189"/>
      <c r="L15" s="15" t="s">
        <v>4</v>
      </c>
      <c r="M15" s="85" t="s">
        <v>5</v>
      </c>
      <c r="N15" s="179"/>
      <c r="O15" s="115" t="s">
        <v>436</v>
      </c>
      <c r="P15" s="10"/>
      <c r="Q15" s="10"/>
      <c r="R15" s="10"/>
      <c r="S15" s="10"/>
      <c r="T15" s="10"/>
      <c r="U15" s="10"/>
      <c r="V15" s="10"/>
      <c r="W15" s="10"/>
      <c r="X15" s="10"/>
      <c r="Y15" s="10"/>
      <c r="Z15" s="13"/>
    </row>
    <row r="16" spans="1:26" s="94" customFormat="1" ht="15.75" thickBot="1">
      <c r="A16" s="116">
        <v>1</v>
      </c>
      <c r="B16" s="95">
        <v>2</v>
      </c>
      <c r="C16" s="16">
        <v>3</v>
      </c>
      <c r="D16" s="16">
        <v>4</v>
      </c>
      <c r="E16" s="16">
        <v>5</v>
      </c>
      <c r="F16" s="16">
        <v>6</v>
      </c>
      <c r="G16" s="16">
        <v>7</v>
      </c>
      <c r="H16" s="16">
        <v>8</v>
      </c>
      <c r="I16" s="84">
        <v>9</v>
      </c>
      <c r="J16" s="16">
        <v>10</v>
      </c>
      <c r="K16" s="16">
        <v>11</v>
      </c>
      <c r="L16" s="17">
        <v>12</v>
      </c>
      <c r="M16" s="16">
        <v>13</v>
      </c>
      <c r="N16" s="16">
        <v>14</v>
      </c>
      <c r="O16" s="16">
        <v>15</v>
      </c>
      <c r="P16" s="10"/>
      <c r="Q16" s="10"/>
      <c r="R16" s="10"/>
      <c r="S16" s="10"/>
      <c r="T16" s="10"/>
      <c r="U16" s="10"/>
      <c r="V16" s="10"/>
      <c r="W16" s="10"/>
      <c r="X16" s="10"/>
      <c r="Y16" s="10"/>
      <c r="Z16" s="13"/>
    </row>
    <row r="17" spans="1:26" ht="60.75" thickBot="1">
      <c r="A17" s="118">
        <v>1</v>
      </c>
      <c r="B17" s="96" t="s">
        <v>31</v>
      </c>
      <c r="C17" s="18">
        <v>7523090</v>
      </c>
      <c r="D17" s="8" t="s">
        <v>29</v>
      </c>
      <c r="E17" s="19" t="s">
        <v>34</v>
      </c>
      <c r="F17" s="125">
        <v>356</v>
      </c>
      <c r="G17" s="125" t="s">
        <v>28</v>
      </c>
      <c r="H17" s="126">
        <v>2880</v>
      </c>
      <c r="I17" s="117">
        <v>42206501000</v>
      </c>
      <c r="J17" s="20" t="s">
        <v>367</v>
      </c>
      <c r="K17" s="82">
        <f>2798.4*15+250*15</f>
        <v>45726</v>
      </c>
      <c r="L17" s="21" t="s">
        <v>12</v>
      </c>
      <c r="M17" s="20" t="s">
        <v>12</v>
      </c>
      <c r="N17" s="20" t="s">
        <v>379</v>
      </c>
      <c r="O17" s="20"/>
      <c r="P17" s="10"/>
      <c r="Q17" s="10"/>
      <c r="R17" s="10"/>
      <c r="S17" s="10"/>
      <c r="T17" s="10"/>
      <c r="U17" s="10"/>
      <c r="V17" s="10"/>
      <c r="W17" s="10"/>
      <c r="X17" s="10"/>
      <c r="Y17" s="10"/>
      <c r="Z17" s="13"/>
    </row>
    <row r="18" spans="1:26" ht="53.25" thickBot="1">
      <c r="A18" s="118">
        <f>A17+1</f>
        <v>2</v>
      </c>
      <c r="B18" s="96" t="s">
        <v>31</v>
      </c>
      <c r="C18" s="18">
        <v>7523090</v>
      </c>
      <c r="D18" s="8" t="s">
        <v>369</v>
      </c>
      <c r="E18" s="19" t="s">
        <v>34</v>
      </c>
      <c r="F18" s="125">
        <v>356</v>
      </c>
      <c r="G18" s="125" t="s">
        <v>28</v>
      </c>
      <c r="H18" s="126">
        <v>8760</v>
      </c>
      <c r="I18" s="117">
        <v>42206501000</v>
      </c>
      <c r="J18" s="20" t="s">
        <v>368</v>
      </c>
      <c r="K18" s="82">
        <f>84000*15</f>
        <v>1260000</v>
      </c>
      <c r="L18" s="21" t="s">
        <v>12</v>
      </c>
      <c r="M18" s="20" t="s">
        <v>12</v>
      </c>
      <c r="N18" s="20" t="s">
        <v>379</v>
      </c>
      <c r="O18" s="20"/>
      <c r="P18" s="10"/>
      <c r="Q18" s="10"/>
      <c r="R18" s="10"/>
      <c r="S18" s="10"/>
      <c r="T18" s="10"/>
      <c r="U18" s="10"/>
      <c r="V18" s="10"/>
      <c r="W18" s="10"/>
      <c r="X18" s="10"/>
      <c r="Y18" s="10"/>
      <c r="Z18" s="13"/>
    </row>
    <row r="19" spans="1:26" ht="84.75" thickBot="1">
      <c r="A19" s="118">
        <f t="shared" ref="A19:A82" si="0">A18+1</f>
        <v>3</v>
      </c>
      <c r="B19" s="96" t="s">
        <v>31</v>
      </c>
      <c r="C19" s="18">
        <v>7523090</v>
      </c>
      <c r="D19" s="8" t="s">
        <v>29</v>
      </c>
      <c r="E19" s="19" t="s">
        <v>34</v>
      </c>
      <c r="F19" s="125">
        <v>356</v>
      </c>
      <c r="G19" s="125" t="s">
        <v>28</v>
      </c>
      <c r="H19" s="126">
        <f>(360+210)*15</f>
        <v>8550</v>
      </c>
      <c r="I19" s="117">
        <v>42206501000</v>
      </c>
      <c r="J19" s="20" t="s">
        <v>370</v>
      </c>
      <c r="K19" s="82">
        <f>(2138.9+4197.6+1749)*3+(2138.9+4197.6+1749)*12*1.059</f>
        <v>127007.034</v>
      </c>
      <c r="L19" s="21" t="s">
        <v>12</v>
      </c>
      <c r="M19" s="20" t="s">
        <v>12</v>
      </c>
      <c r="N19" s="20" t="s">
        <v>379</v>
      </c>
      <c r="O19" s="20"/>
      <c r="P19" s="10"/>
      <c r="Q19" s="10"/>
      <c r="R19" s="10"/>
      <c r="S19" s="10"/>
      <c r="T19" s="10"/>
      <c r="U19" s="10"/>
      <c r="V19" s="10"/>
      <c r="W19" s="10"/>
      <c r="X19" s="10"/>
      <c r="Y19" s="10"/>
      <c r="Z19" s="13"/>
    </row>
    <row r="20" spans="1:26" s="26" customFormat="1" ht="53.25" thickBot="1">
      <c r="A20" s="118">
        <f t="shared" si="0"/>
        <v>4</v>
      </c>
      <c r="B20" s="96" t="s">
        <v>32</v>
      </c>
      <c r="C20" s="18">
        <v>5262760</v>
      </c>
      <c r="D20" s="9" t="s">
        <v>33</v>
      </c>
      <c r="E20" s="19" t="s">
        <v>35</v>
      </c>
      <c r="F20" s="125">
        <v>642</v>
      </c>
      <c r="G20" s="127" t="s">
        <v>372</v>
      </c>
      <c r="H20" s="127">
        <v>5</v>
      </c>
      <c r="I20" s="117">
        <v>42206501000</v>
      </c>
      <c r="J20" s="20" t="s">
        <v>30</v>
      </c>
      <c r="K20" s="83">
        <f>636*15*1.06</f>
        <v>10112.4</v>
      </c>
      <c r="L20" s="21" t="s">
        <v>12</v>
      </c>
      <c r="M20" s="20" t="s">
        <v>12</v>
      </c>
      <c r="N20" s="20" t="s">
        <v>379</v>
      </c>
      <c r="O20" s="22"/>
      <c r="P20" s="24"/>
      <c r="Q20" s="24"/>
      <c r="R20" s="24"/>
      <c r="S20" s="24"/>
      <c r="T20" s="24"/>
      <c r="U20" s="24"/>
      <c r="V20" s="24"/>
      <c r="W20" s="24"/>
      <c r="X20" s="24"/>
      <c r="Y20" s="24"/>
      <c r="Z20" s="25"/>
    </row>
    <row r="21" spans="1:26" ht="53.25" thickBot="1">
      <c r="A21" s="118">
        <f t="shared" si="0"/>
        <v>5</v>
      </c>
      <c r="B21" s="34" t="s">
        <v>39</v>
      </c>
      <c r="C21" s="7">
        <v>9440100</v>
      </c>
      <c r="D21" s="8" t="s">
        <v>36</v>
      </c>
      <c r="E21" s="7" t="s">
        <v>37</v>
      </c>
      <c r="F21" s="128">
        <v>214</v>
      </c>
      <c r="G21" s="142" t="s">
        <v>38</v>
      </c>
      <c r="H21" s="126">
        <v>21000</v>
      </c>
      <c r="I21" s="117">
        <v>42206501000</v>
      </c>
      <c r="J21" s="20" t="s">
        <v>30</v>
      </c>
      <c r="K21" s="78">
        <v>128000</v>
      </c>
      <c r="L21" s="21" t="s">
        <v>12</v>
      </c>
      <c r="M21" s="20" t="s">
        <v>12</v>
      </c>
      <c r="N21" s="20" t="s">
        <v>379</v>
      </c>
      <c r="O21" s="23"/>
      <c r="P21" s="10"/>
      <c r="Q21" s="10"/>
      <c r="R21" s="10"/>
      <c r="S21" s="10"/>
      <c r="T21" s="10"/>
      <c r="U21" s="10"/>
      <c r="V21" s="10"/>
      <c r="W21" s="10"/>
      <c r="X21" s="10"/>
      <c r="Y21" s="10"/>
      <c r="Z21" s="13"/>
    </row>
    <row r="22" spans="1:26" ht="53.25" thickBot="1">
      <c r="A22" s="118">
        <f t="shared" si="0"/>
        <v>6</v>
      </c>
      <c r="B22" s="34" t="s">
        <v>39</v>
      </c>
      <c r="C22" s="7">
        <v>9440100</v>
      </c>
      <c r="D22" s="8" t="s">
        <v>36</v>
      </c>
      <c r="E22" s="7" t="s">
        <v>37</v>
      </c>
      <c r="F22" s="128">
        <v>214</v>
      </c>
      <c r="G22" s="142" t="s">
        <v>38</v>
      </c>
      <c r="H22" s="143">
        <f>2600+10250</f>
        <v>12850</v>
      </c>
      <c r="I22" s="117">
        <v>42206501000</v>
      </c>
      <c r="J22" s="20" t="s">
        <v>30</v>
      </c>
      <c r="K22" s="78">
        <f>17181+75183</f>
        <v>92364</v>
      </c>
      <c r="L22" s="21" t="s">
        <v>12</v>
      </c>
      <c r="M22" s="20" t="s">
        <v>12</v>
      </c>
      <c r="N22" s="20" t="s">
        <v>379</v>
      </c>
      <c r="O22" s="23"/>
      <c r="P22" s="10"/>
      <c r="Q22" s="10"/>
      <c r="R22" s="10"/>
      <c r="S22" s="10"/>
      <c r="T22" s="10"/>
      <c r="U22" s="10"/>
      <c r="V22" s="10"/>
      <c r="W22" s="10"/>
      <c r="X22" s="10"/>
      <c r="Y22" s="10"/>
      <c r="Z22" s="13"/>
    </row>
    <row r="23" spans="1:26" s="26" customFormat="1" ht="53.25" thickBot="1">
      <c r="A23" s="118">
        <f t="shared" si="0"/>
        <v>7</v>
      </c>
      <c r="B23" s="34" t="s">
        <v>39</v>
      </c>
      <c r="C23" s="7">
        <v>9440100</v>
      </c>
      <c r="D23" s="8" t="s">
        <v>36</v>
      </c>
      <c r="E23" s="7" t="s">
        <v>37</v>
      </c>
      <c r="F23" s="128">
        <v>214</v>
      </c>
      <c r="G23" s="142" t="s">
        <v>38</v>
      </c>
      <c r="H23" s="126">
        <f>9340+37375</f>
        <v>46715</v>
      </c>
      <c r="I23" s="117">
        <v>42206501000</v>
      </c>
      <c r="J23" s="79" t="s">
        <v>30</v>
      </c>
      <c r="K23" s="78">
        <f>46715*0.7*1.18</f>
        <v>38586.589999999997</v>
      </c>
      <c r="L23" s="21" t="s">
        <v>12</v>
      </c>
      <c r="M23" s="20" t="s">
        <v>12</v>
      </c>
      <c r="N23" s="20" t="s">
        <v>379</v>
      </c>
      <c r="O23" s="23"/>
      <c r="P23" s="24"/>
      <c r="Q23" s="24"/>
      <c r="R23" s="24"/>
      <c r="S23" s="24"/>
      <c r="T23" s="24"/>
      <c r="U23" s="24"/>
      <c r="V23" s="24"/>
      <c r="W23" s="24"/>
      <c r="X23" s="24"/>
      <c r="Y23" s="24"/>
      <c r="Z23" s="25"/>
    </row>
    <row r="24" spans="1:26" ht="53.25" thickBot="1">
      <c r="A24" s="118">
        <f t="shared" si="0"/>
        <v>8</v>
      </c>
      <c r="B24" s="34" t="s">
        <v>39</v>
      </c>
      <c r="C24" s="7">
        <v>9440100</v>
      </c>
      <c r="D24" s="8" t="s">
        <v>36</v>
      </c>
      <c r="E24" s="7" t="s">
        <v>37</v>
      </c>
      <c r="F24" s="128">
        <v>214</v>
      </c>
      <c r="G24" s="142" t="s">
        <v>38</v>
      </c>
      <c r="H24" s="126">
        <f>111200+571100</f>
        <v>682300</v>
      </c>
      <c r="I24" s="117">
        <v>42206501000</v>
      </c>
      <c r="J24" s="20" t="s">
        <v>30</v>
      </c>
      <c r="K24" s="78">
        <f>111200*4.3*1.18+571100*4.3*1.11*1.18</f>
        <v>3780743.9539999999</v>
      </c>
      <c r="L24" s="21" t="s">
        <v>12</v>
      </c>
      <c r="M24" s="20" t="s">
        <v>12</v>
      </c>
      <c r="N24" s="20" t="s">
        <v>379</v>
      </c>
      <c r="O24" s="23"/>
      <c r="P24" s="10"/>
      <c r="Q24" s="10"/>
      <c r="R24" s="10"/>
      <c r="S24" s="10"/>
      <c r="T24" s="10"/>
      <c r="U24" s="10"/>
      <c r="V24" s="10"/>
      <c r="W24" s="10"/>
      <c r="X24" s="10"/>
      <c r="Y24" s="10"/>
      <c r="Z24" s="13"/>
    </row>
    <row r="25" spans="1:26" ht="53.25" thickBot="1">
      <c r="A25" s="118">
        <f t="shared" si="0"/>
        <v>9</v>
      </c>
      <c r="B25" s="34" t="s">
        <v>39</v>
      </c>
      <c r="C25" s="7">
        <v>9440100</v>
      </c>
      <c r="D25" s="8" t="s">
        <v>36</v>
      </c>
      <c r="E25" s="7" t="s">
        <v>37</v>
      </c>
      <c r="F25" s="128">
        <v>214</v>
      </c>
      <c r="G25" s="142" t="s">
        <v>38</v>
      </c>
      <c r="H25" s="126">
        <f>955250+3862000</f>
        <v>4817250</v>
      </c>
      <c r="I25" s="117">
        <v>42206501000</v>
      </c>
      <c r="J25" s="20" t="s">
        <v>30</v>
      </c>
      <c r="K25" s="78">
        <f>955250*3.82*1.18+3862000*3.82*1.11*1.18</f>
        <v>23629154.732000001</v>
      </c>
      <c r="L25" s="21" t="s">
        <v>12</v>
      </c>
      <c r="M25" s="20" t="s">
        <v>12</v>
      </c>
      <c r="N25" s="20" t="s">
        <v>379</v>
      </c>
      <c r="O25" s="29"/>
      <c r="P25" s="10"/>
      <c r="Q25" s="10"/>
      <c r="R25" s="10"/>
      <c r="S25" s="10"/>
      <c r="T25" s="10"/>
      <c r="U25" s="10"/>
      <c r="V25" s="10"/>
      <c r="W25" s="10"/>
      <c r="X25" s="10"/>
      <c r="Y25" s="10"/>
      <c r="Z25" s="13"/>
    </row>
    <row r="26" spans="1:26" ht="53.25" thickBot="1">
      <c r="A26" s="118">
        <f t="shared" si="0"/>
        <v>10</v>
      </c>
      <c r="B26" s="96" t="s">
        <v>43</v>
      </c>
      <c r="C26" s="7">
        <v>4030202</v>
      </c>
      <c r="D26" s="18" t="s">
        <v>42</v>
      </c>
      <c r="E26" s="35" t="s">
        <v>40</v>
      </c>
      <c r="F26" s="129">
        <v>233</v>
      </c>
      <c r="G26" s="125" t="s">
        <v>41</v>
      </c>
      <c r="H26" s="126">
        <v>1481.1</v>
      </c>
      <c r="I26" s="117">
        <v>42206501000</v>
      </c>
      <c r="J26" s="20" t="s">
        <v>30</v>
      </c>
      <c r="K26" s="78">
        <f>(22000+311000+767000+58500)*1.18+(219523*1.18+447482*1.11*1.18)</f>
        <v>2212179.0636</v>
      </c>
      <c r="L26" s="21" t="s">
        <v>12</v>
      </c>
      <c r="M26" s="20" t="s">
        <v>12</v>
      </c>
      <c r="N26" s="20" t="s">
        <v>379</v>
      </c>
      <c r="O26" s="29"/>
      <c r="P26" s="10"/>
      <c r="Q26" s="10"/>
      <c r="R26" s="10"/>
      <c r="S26" s="10"/>
      <c r="T26" s="10"/>
      <c r="U26" s="10"/>
      <c r="V26" s="10"/>
      <c r="W26" s="10"/>
      <c r="X26" s="10"/>
      <c r="Y26" s="10"/>
      <c r="Z26" s="13"/>
    </row>
    <row r="27" spans="1:26" ht="53.25" thickBot="1">
      <c r="A27" s="118">
        <f t="shared" si="0"/>
        <v>11</v>
      </c>
      <c r="B27" s="96" t="s">
        <v>46</v>
      </c>
      <c r="C27" s="7">
        <v>4020116</v>
      </c>
      <c r="D27" s="7" t="s">
        <v>45</v>
      </c>
      <c r="E27" s="35" t="s">
        <v>44</v>
      </c>
      <c r="F27" s="129">
        <v>113</v>
      </c>
      <c r="G27" s="126" t="s">
        <v>366</v>
      </c>
      <c r="H27" s="126">
        <f>23500+50251</f>
        <v>73751</v>
      </c>
      <c r="I27" s="117">
        <v>42206501000</v>
      </c>
      <c r="J27" s="79" t="s">
        <v>30</v>
      </c>
      <c r="K27" s="78">
        <f>(102900+253115)*1.18</f>
        <v>420097.69999999995</v>
      </c>
      <c r="L27" s="21" t="s">
        <v>12</v>
      </c>
      <c r="M27" s="20" t="s">
        <v>12</v>
      </c>
      <c r="N27" s="20" t="s">
        <v>379</v>
      </c>
      <c r="O27" s="29"/>
      <c r="P27" s="10"/>
      <c r="Q27" s="10"/>
      <c r="R27" s="10"/>
      <c r="S27" s="10"/>
      <c r="T27" s="10"/>
      <c r="U27" s="10"/>
      <c r="V27" s="10"/>
      <c r="W27" s="10"/>
      <c r="X27" s="10"/>
      <c r="Y27" s="10"/>
      <c r="Z27" s="13"/>
    </row>
    <row r="28" spans="1:26" ht="53.25" thickBot="1">
      <c r="A28" s="118">
        <f t="shared" si="0"/>
        <v>12</v>
      </c>
      <c r="B28" s="97" t="s">
        <v>49</v>
      </c>
      <c r="C28" s="37">
        <v>6420000</v>
      </c>
      <c r="D28" s="38" t="s">
        <v>47</v>
      </c>
      <c r="E28" s="35" t="s">
        <v>48</v>
      </c>
      <c r="F28" s="130">
        <v>796</v>
      </c>
      <c r="G28" s="144" t="s">
        <v>439</v>
      </c>
      <c r="H28" s="131">
        <v>19</v>
      </c>
      <c r="I28" s="117">
        <v>42206501000</v>
      </c>
      <c r="J28" s="39" t="s">
        <v>30</v>
      </c>
      <c r="K28" s="78">
        <f>(6061+40884)*1.18+187783*1.059*1.18-K29</f>
        <v>170671.69245999999</v>
      </c>
      <c r="L28" s="40" t="s">
        <v>12</v>
      </c>
      <c r="M28" s="39" t="s">
        <v>12</v>
      </c>
      <c r="N28" s="20" t="s">
        <v>379</v>
      </c>
      <c r="O28" s="29"/>
      <c r="P28" s="10"/>
      <c r="Q28" s="10"/>
      <c r="R28" s="10"/>
      <c r="S28" s="10"/>
      <c r="T28" s="10"/>
      <c r="U28" s="10"/>
      <c r="V28" s="10"/>
      <c r="W28" s="10"/>
      <c r="X28" s="10"/>
      <c r="Y28" s="10"/>
      <c r="Z28" s="13"/>
    </row>
    <row r="29" spans="1:26" ht="53.25" thickBot="1">
      <c r="A29" s="118">
        <f t="shared" si="0"/>
        <v>13</v>
      </c>
      <c r="B29" s="98" t="s">
        <v>106</v>
      </c>
      <c r="C29" s="55">
        <v>6420019</v>
      </c>
      <c r="D29" s="55" t="s">
        <v>107</v>
      </c>
      <c r="E29" s="56" t="s">
        <v>108</v>
      </c>
      <c r="F29" s="132">
        <v>661</v>
      </c>
      <c r="G29" s="132" t="s">
        <v>440</v>
      </c>
      <c r="H29" s="132">
        <v>1</v>
      </c>
      <c r="I29" s="117">
        <v>42206501000</v>
      </c>
      <c r="J29" s="39" t="s">
        <v>30</v>
      </c>
      <c r="K29" s="78">
        <f>7600*3+7600*12*1.059</f>
        <v>119380.79999999999</v>
      </c>
      <c r="L29" s="40" t="s">
        <v>12</v>
      </c>
      <c r="M29" s="39" t="s">
        <v>12</v>
      </c>
      <c r="N29" s="20" t="s">
        <v>379</v>
      </c>
      <c r="O29" s="29"/>
      <c r="P29" s="10"/>
      <c r="Q29" s="10"/>
      <c r="R29" s="10"/>
      <c r="S29" s="10"/>
      <c r="T29" s="10"/>
      <c r="U29" s="10"/>
      <c r="V29" s="10"/>
      <c r="W29" s="10"/>
      <c r="X29" s="10"/>
      <c r="Y29" s="10"/>
      <c r="Z29" s="13"/>
    </row>
    <row r="30" spans="1:26" ht="53.25" thickBot="1">
      <c r="A30" s="118">
        <f t="shared" si="0"/>
        <v>14</v>
      </c>
      <c r="B30" s="59" t="s">
        <v>65</v>
      </c>
      <c r="C30" s="7">
        <v>2109396</v>
      </c>
      <c r="D30" s="8" t="s">
        <v>374</v>
      </c>
      <c r="E30" s="119" t="s">
        <v>66</v>
      </c>
      <c r="F30" s="133">
        <v>796</v>
      </c>
      <c r="G30" s="134" t="s">
        <v>9</v>
      </c>
      <c r="H30" s="134">
        <v>6000</v>
      </c>
      <c r="I30" s="117">
        <v>42206501000</v>
      </c>
      <c r="J30" s="23" t="s">
        <v>30</v>
      </c>
      <c r="K30" s="62">
        <v>30000</v>
      </c>
      <c r="L30" s="40" t="s">
        <v>12</v>
      </c>
      <c r="M30" s="39" t="s">
        <v>12</v>
      </c>
      <c r="N30" s="20" t="s">
        <v>379</v>
      </c>
      <c r="O30" s="29"/>
      <c r="P30" s="10"/>
      <c r="Q30" s="10"/>
      <c r="R30" s="10"/>
      <c r="S30" s="10"/>
      <c r="T30" s="10"/>
      <c r="U30" s="10"/>
      <c r="V30" s="10"/>
      <c r="W30" s="10"/>
      <c r="X30" s="10"/>
      <c r="Y30" s="10"/>
      <c r="Z30" s="13"/>
    </row>
    <row r="31" spans="1:26" ht="53.25" thickBot="1">
      <c r="A31" s="118">
        <f t="shared" si="0"/>
        <v>15</v>
      </c>
      <c r="B31" s="59" t="s">
        <v>65</v>
      </c>
      <c r="C31" s="7">
        <v>2109396</v>
      </c>
      <c r="D31" s="8" t="s">
        <v>375</v>
      </c>
      <c r="E31" s="119" t="s">
        <v>66</v>
      </c>
      <c r="F31" s="133">
        <v>796</v>
      </c>
      <c r="G31" s="134" t="s">
        <v>9</v>
      </c>
      <c r="H31" s="134">
        <v>7500</v>
      </c>
      <c r="I31" s="117">
        <v>42206501000</v>
      </c>
      <c r="J31" s="23" t="s">
        <v>30</v>
      </c>
      <c r="K31" s="62">
        <v>40000</v>
      </c>
      <c r="L31" s="40" t="s">
        <v>12</v>
      </c>
      <c r="M31" s="39" t="s">
        <v>12</v>
      </c>
      <c r="N31" s="20" t="s">
        <v>379</v>
      </c>
      <c r="O31" s="29"/>
      <c r="P31" s="10"/>
      <c r="Q31" s="10"/>
      <c r="R31" s="10"/>
      <c r="S31" s="10"/>
      <c r="T31" s="10"/>
      <c r="U31" s="10"/>
      <c r="V31" s="10"/>
      <c r="W31" s="10"/>
      <c r="X31" s="10"/>
      <c r="Y31" s="10"/>
      <c r="Z31" s="13"/>
    </row>
    <row r="32" spans="1:26" ht="53.25" thickBot="1">
      <c r="A32" s="118">
        <f t="shared" si="0"/>
        <v>16</v>
      </c>
      <c r="B32" s="59" t="s">
        <v>65</v>
      </c>
      <c r="C32" s="7">
        <v>2109396</v>
      </c>
      <c r="D32" s="8" t="s">
        <v>378</v>
      </c>
      <c r="E32" s="119" t="s">
        <v>66</v>
      </c>
      <c r="F32" s="133">
        <v>796</v>
      </c>
      <c r="G32" s="134" t="s">
        <v>9</v>
      </c>
      <c r="H32" s="134">
        <v>7500</v>
      </c>
      <c r="I32" s="117">
        <v>42206501000</v>
      </c>
      <c r="J32" s="23" t="s">
        <v>30</v>
      </c>
      <c r="K32" s="62">
        <v>40000</v>
      </c>
      <c r="L32" s="40" t="s">
        <v>12</v>
      </c>
      <c r="M32" s="39" t="s">
        <v>12</v>
      </c>
      <c r="N32" s="20" t="s">
        <v>379</v>
      </c>
      <c r="O32" s="29"/>
      <c r="P32" s="10"/>
      <c r="Q32" s="10"/>
      <c r="R32" s="10"/>
      <c r="S32" s="10"/>
      <c r="T32" s="10"/>
      <c r="U32" s="10"/>
      <c r="V32" s="10"/>
      <c r="W32" s="10"/>
      <c r="X32" s="10"/>
      <c r="Y32" s="10"/>
      <c r="Z32" s="13"/>
    </row>
    <row r="33" spans="1:26" ht="53.25" thickBot="1">
      <c r="A33" s="118">
        <f t="shared" si="0"/>
        <v>17</v>
      </c>
      <c r="B33" s="59" t="s">
        <v>65</v>
      </c>
      <c r="C33" s="7">
        <v>2109396</v>
      </c>
      <c r="D33" s="8" t="s">
        <v>377</v>
      </c>
      <c r="E33" s="46" t="s">
        <v>66</v>
      </c>
      <c r="F33" s="133">
        <v>796</v>
      </c>
      <c r="G33" s="134" t="s">
        <v>9</v>
      </c>
      <c r="H33" s="134">
        <v>7500</v>
      </c>
      <c r="I33" s="117">
        <v>42206501000</v>
      </c>
      <c r="J33" s="23" t="s">
        <v>30</v>
      </c>
      <c r="K33" s="62">
        <v>40000</v>
      </c>
      <c r="L33" s="40" t="s">
        <v>12</v>
      </c>
      <c r="M33" s="39" t="s">
        <v>12</v>
      </c>
      <c r="N33" s="20" t="s">
        <v>379</v>
      </c>
      <c r="O33" s="29"/>
      <c r="P33" s="10"/>
      <c r="Q33" s="10"/>
      <c r="R33" s="10"/>
      <c r="S33" s="10"/>
      <c r="T33" s="10"/>
      <c r="U33" s="10"/>
      <c r="V33" s="10"/>
      <c r="W33" s="10"/>
      <c r="X33" s="10"/>
      <c r="Y33" s="10"/>
      <c r="Z33" s="13"/>
    </row>
    <row r="34" spans="1:26" ht="53.25" thickBot="1">
      <c r="A34" s="118">
        <f t="shared" si="0"/>
        <v>18</v>
      </c>
      <c r="B34" s="59" t="s">
        <v>65</v>
      </c>
      <c r="C34" s="45">
        <v>2109396</v>
      </c>
      <c r="D34" s="8" t="s">
        <v>376</v>
      </c>
      <c r="E34" s="47" t="s">
        <v>66</v>
      </c>
      <c r="F34" s="133">
        <v>796</v>
      </c>
      <c r="G34" s="135" t="s">
        <v>9</v>
      </c>
      <c r="H34" s="134">
        <v>7500</v>
      </c>
      <c r="I34" s="117">
        <v>42206501000</v>
      </c>
      <c r="J34" s="29" t="s">
        <v>30</v>
      </c>
      <c r="K34" s="62">
        <v>40000</v>
      </c>
      <c r="L34" s="40" t="s">
        <v>12</v>
      </c>
      <c r="M34" s="39" t="s">
        <v>12</v>
      </c>
      <c r="N34" s="20" t="s">
        <v>379</v>
      </c>
      <c r="O34" s="29"/>
      <c r="P34" s="10"/>
      <c r="Q34" s="10"/>
      <c r="R34" s="10"/>
      <c r="S34" s="10"/>
      <c r="T34" s="10"/>
      <c r="U34" s="10"/>
      <c r="V34" s="10"/>
      <c r="W34" s="10"/>
      <c r="X34" s="10"/>
      <c r="Y34" s="10"/>
      <c r="Z34" s="13"/>
    </row>
    <row r="35" spans="1:26" ht="105.75" thickBot="1">
      <c r="A35" s="118">
        <f t="shared" si="0"/>
        <v>19</v>
      </c>
      <c r="B35" s="59" t="s">
        <v>69</v>
      </c>
      <c r="C35" s="7">
        <v>5200180</v>
      </c>
      <c r="D35" s="7" t="s">
        <v>70</v>
      </c>
      <c r="E35" s="43" t="s">
        <v>67</v>
      </c>
      <c r="F35" s="133">
        <v>796</v>
      </c>
      <c r="G35" s="128" t="s">
        <v>9</v>
      </c>
      <c r="H35" s="128" t="s">
        <v>68</v>
      </c>
      <c r="I35" s="117">
        <v>42206501000</v>
      </c>
      <c r="J35" s="23" t="s">
        <v>30</v>
      </c>
      <c r="K35" s="65">
        <v>60000</v>
      </c>
      <c r="L35" s="40" t="s">
        <v>12</v>
      </c>
      <c r="M35" s="39" t="s">
        <v>12</v>
      </c>
      <c r="N35" s="20" t="s">
        <v>379</v>
      </c>
      <c r="O35" s="29"/>
      <c r="P35" s="10"/>
      <c r="Q35" s="10"/>
      <c r="R35" s="10"/>
      <c r="S35" s="10"/>
      <c r="T35" s="10"/>
      <c r="U35" s="10"/>
      <c r="V35" s="10"/>
      <c r="W35" s="10"/>
      <c r="X35" s="10"/>
      <c r="Y35" s="10"/>
      <c r="Z35" s="13"/>
    </row>
    <row r="36" spans="1:26" ht="105.75" thickBot="1">
      <c r="A36" s="118">
        <f t="shared" si="0"/>
        <v>20</v>
      </c>
      <c r="B36" s="59" t="s">
        <v>69</v>
      </c>
      <c r="C36" s="7">
        <v>5200180</v>
      </c>
      <c r="D36" s="7" t="s">
        <v>71</v>
      </c>
      <c r="E36" s="43" t="s">
        <v>67</v>
      </c>
      <c r="F36" s="133">
        <v>796</v>
      </c>
      <c r="G36" s="128" t="s">
        <v>9</v>
      </c>
      <c r="H36" s="128" t="s">
        <v>68</v>
      </c>
      <c r="I36" s="117">
        <v>42206501000</v>
      </c>
      <c r="J36" s="23" t="s">
        <v>30</v>
      </c>
      <c r="K36" s="65">
        <v>60000</v>
      </c>
      <c r="L36" s="40" t="s">
        <v>12</v>
      </c>
      <c r="M36" s="39" t="s">
        <v>12</v>
      </c>
      <c r="N36" s="20" t="s">
        <v>379</v>
      </c>
      <c r="O36" s="29"/>
      <c r="P36" s="10"/>
      <c r="Q36" s="10"/>
      <c r="R36" s="10"/>
      <c r="S36" s="10"/>
      <c r="T36" s="10"/>
      <c r="U36" s="10"/>
      <c r="V36" s="10"/>
      <c r="W36" s="10"/>
      <c r="X36" s="10"/>
      <c r="Y36" s="10"/>
      <c r="Z36" s="13"/>
    </row>
    <row r="37" spans="1:26" ht="53.25" thickBot="1">
      <c r="A37" s="118">
        <f t="shared" si="0"/>
        <v>21</v>
      </c>
      <c r="B37" s="59" t="s">
        <v>72</v>
      </c>
      <c r="C37" s="7">
        <v>2219143</v>
      </c>
      <c r="D37" s="7" t="s">
        <v>380</v>
      </c>
      <c r="E37" s="7" t="s">
        <v>73</v>
      </c>
      <c r="F37" s="133">
        <v>796</v>
      </c>
      <c r="G37" s="128" t="s">
        <v>9</v>
      </c>
      <c r="H37" s="134">
        <v>7200</v>
      </c>
      <c r="I37" s="117">
        <v>42206501000</v>
      </c>
      <c r="J37" s="64" t="s">
        <v>30</v>
      </c>
      <c r="K37" s="62">
        <v>36000</v>
      </c>
      <c r="L37" s="40" t="s">
        <v>12</v>
      </c>
      <c r="M37" s="39" t="s">
        <v>12</v>
      </c>
      <c r="N37" s="20" t="s">
        <v>379</v>
      </c>
      <c r="O37" s="29"/>
      <c r="P37" s="10"/>
      <c r="Q37" s="10"/>
      <c r="R37" s="10"/>
      <c r="S37" s="10"/>
      <c r="T37" s="10"/>
      <c r="U37" s="10"/>
      <c r="V37" s="10"/>
      <c r="W37" s="10"/>
      <c r="X37" s="10"/>
      <c r="Y37" s="10"/>
      <c r="Z37" s="13"/>
    </row>
    <row r="38" spans="1:26" ht="53.25" thickBot="1">
      <c r="A38" s="118">
        <f t="shared" si="0"/>
        <v>22</v>
      </c>
      <c r="B38" s="59" t="s">
        <v>72</v>
      </c>
      <c r="C38" s="7">
        <v>2219143</v>
      </c>
      <c r="D38" s="7" t="s">
        <v>381</v>
      </c>
      <c r="E38" s="7" t="s">
        <v>73</v>
      </c>
      <c r="F38" s="133">
        <v>796</v>
      </c>
      <c r="G38" s="128" t="s">
        <v>9</v>
      </c>
      <c r="H38" s="134">
        <v>14400</v>
      </c>
      <c r="I38" s="117">
        <v>42206501000</v>
      </c>
      <c r="J38" s="64" t="s">
        <v>30</v>
      </c>
      <c r="K38" s="62">
        <v>72000</v>
      </c>
      <c r="L38" s="40" t="s">
        <v>12</v>
      </c>
      <c r="M38" s="39" t="s">
        <v>12</v>
      </c>
      <c r="N38" s="20" t="s">
        <v>379</v>
      </c>
      <c r="O38" s="29"/>
      <c r="P38" s="10"/>
      <c r="Q38" s="10"/>
      <c r="R38" s="10"/>
      <c r="S38" s="10"/>
      <c r="T38" s="10"/>
      <c r="U38" s="10"/>
      <c r="V38" s="10"/>
      <c r="W38" s="10"/>
      <c r="X38" s="10"/>
      <c r="Y38" s="10"/>
      <c r="Z38" s="13"/>
    </row>
    <row r="39" spans="1:26" ht="53.25" thickBot="1">
      <c r="A39" s="118">
        <f t="shared" si="0"/>
        <v>23</v>
      </c>
      <c r="B39" s="59" t="s">
        <v>72</v>
      </c>
      <c r="C39" s="7">
        <v>2219143</v>
      </c>
      <c r="D39" s="7" t="s">
        <v>382</v>
      </c>
      <c r="E39" s="7" t="s">
        <v>73</v>
      </c>
      <c r="F39" s="133">
        <v>796</v>
      </c>
      <c r="G39" s="128" t="s">
        <v>9</v>
      </c>
      <c r="H39" s="134">
        <v>14400</v>
      </c>
      <c r="I39" s="117">
        <v>42206501000</v>
      </c>
      <c r="J39" s="64" t="s">
        <v>30</v>
      </c>
      <c r="K39" s="62">
        <v>72000</v>
      </c>
      <c r="L39" s="40" t="s">
        <v>12</v>
      </c>
      <c r="M39" s="39" t="s">
        <v>12</v>
      </c>
      <c r="N39" s="20" t="s">
        <v>379</v>
      </c>
      <c r="O39" s="29"/>
      <c r="P39" s="10"/>
      <c r="Q39" s="10"/>
      <c r="R39" s="10"/>
      <c r="S39" s="10"/>
      <c r="T39" s="10"/>
      <c r="U39" s="10"/>
      <c r="V39" s="10"/>
      <c r="W39" s="10"/>
      <c r="X39" s="10"/>
      <c r="Y39" s="10"/>
      <c r="Z39" s="13"/>
    </row>
    <row r="40" spans="1:26" ht="53.25" thickBot="1">
      <c r="A40" s="118">
        <f t="shared" si="0"/>
        <v>24</v>
      </c>
      <c r="B40" s="96" t="s">
        <v>49</v>
      </c>
      <c r="C40" s="18">
        <v>6420090</v>
      </c>
      <c r="D40" s="18" t="s">
        <v>75</v>
      </c>
      <c r="E40" s="18" t="s">
        <v>74</v>
      </c>
      <c r="F40" s="125">
        <v>642</v>
      </c>
      <c r="G40" s="125" t="s">
        <v>64</v>
      </c>
      <c r="H40" s="126">
        <v>117</v>
      </c>
      <c r="I40" s="117">
        <v>42206501000</v>
      </c>
      <c r="J40" s="23" t="s">
        <v>30</v>
      </c>
      <c r="K40" s="81">
        <f>70000+280000</f>
        <v>350000</v>
      </c>
      <c r="L40" s="40" t="s">
        <v>12</v>
      </c>
      <c r="M40" s="39" t="s">
        <v>12</v>
      </c>
      <c r="N40" s="20" t="s">
        <v>379</v>
      </c>
      <c r="O40" s="29"/>
      <c r="P40" s="10"/>
      <c r="Q40" s="10"/>
      <c r="R40" s="10"/>
      <c r="S40" s="10"/>
      <c r="T40" s="10"/>
      <c r="U40" s="10"/>
      <c r="V40" s="10"/>
      <c r="W40" s="10"/>
      <c r="X40" s="10"/>
      <c r="Y40" s="10"/>
      <c r="Z40" s="13"/>
    </row>
    <row r="41" spans="1:26" ht="96.75" thickBot="1">
      <c r="A41" s="118">
        <f t="shared" si="0"/>
        <v>25</v>
      </c>
      <c r="B41" s="59" t="s">
        <v>80</v>
      </c>
      <c r="C41" s="7">
        <v>7250000</v>
      </c>
      <c r="D41" s="44" t="s">
        <v>399</v>
      </c>
      <c r="E41" s="49" t="s">
        <v>81</v>
      </c>
      <c r="F41" s="145">
        <v>876</v>
      </c>
      <c r="G41" s="128" t="s">
        <v>62</v>
      </c>
      <c r="H41" s="134">
        <v>1</v>
      </c>
      <c r="I41" s="117">
        <v>42206501000</v>
      </c>
      <c r="J41" s="23" t="s">
        <v>30</v>
      </c>
      <c r="K41" s="81">
        <v>120000</v>
      </c>
      <c r="L41" s="40" t="s">
        <v>12</v>
      </c>
      <c r="M41" s="39" t="s">
        <v>12</v>
      </c>
      <c r="N41" s="20" t="s">
        <v>379</v>
      </c>
      <c r="O41" s="29"/>
      <c r="P41" s="10"/>
      <c r="Q41" s="10"/>
      <c r="R41" s="10"/>
      <c r="S41" s="10"/>
      <c r="T41" s="10"/>
      <c r="U41" s="10"/>
      <c r="V41" s="10"/>
      <c r="W41" s="10"/>
      <c r="X41" s="10"/>
      <c r="Y41" s="10"/>
      <c r="Z41" s="13"/>
    </row>
    <row r="42" spans="1:26" s="53" customFormat="1" ht="53.25" thickBot="1">
      <c r="A42" s="118">
        <f t="shared" si="0"/>
        <v>26</v>
      </c>
      <c r="B42" s="99" t="s">
        <v>100</v>
      </c>
      <c r="C42" s="54">
        <v>7260000</v>
      </c>
      <c r="D42" s="54" t="s">
        <v>383</v>
      </c>
      <c r="E42" s="56" t="s">
        <v>101</v>
      </c>
      <c r="F42" s="132">
        <v>642</v>
      </c>
      <c r="G42" s="132" t="s">
        <v>441</v>
      </c>
      <c r="H42" s="146">
        <v>4</v>
      </c>
      <c r="I42" s="117">
        <v>42206501000</v>
      </c>
      <c r="J42" s="23" t="s">
        <v>30</v>
      </c>
      <c r="K42" s="81">
        <f>7400*12*1.059</f>
        <v>94039.2</v>
      </c>
      <c r="L42" s="40" t="s">
        <v>12</v>
      </c>
      <c r="M42" s="39" t="s">
        <v>12</v>
      </c>
      <c r="N42" s="20" t="s">
        <v>379</v>
      </c>
      <c r="O42" s="29"/>
      <c r="P42" s="51"/>
      <c r="Q42" s="51"/>
      <c r="R42" s="51"/>
      <c r="S42" s="51"/>
      <c r="T42" s="51"/>
      <c r="U42" s="51"/>
      <c r="V42" s="51"/>
      <c r="W42" s="51"/>
      <c r="X42" s="51"/>
      <c r="Y42" s="51"/>
      <c r="Z42" s="52"/>
    </row>
    <row r="43" spans="1:26" s="53" customFormat="1" ht="53.25" thickBot="1">
      <c r="A43" s="118">
        <f t="shared" si="0"/>
        <v>27</v>
      </c>
      <c r="B43" s="99" t="s">
        <v>104</v>
      </c>
      <c r="C43" s="54">
        <v>9010020</v>
      </c>
      <c r="D43" s="54" t="s">
        <v>105</v>
      </c>
      <c r="E43" s="18" t="s">
        <v>74</v>
      </c>
      <c r="F43" s="125">
        <v>113</v>
      </c>
      <c r="G43" s="132" t="s">
        <v>366</v>
      </c>
      <c r="H43" s="146">
        <f>7800+31000</f>
        <v>38800</v>
      </c>
      <c r="I43" s="117">
        <v>42206501000</v>
      </c>
      <c r="J43" s="23" t="s">
        <v>30</v>
      </c>
      <c r="K43" s="81">
        <f>38800*182.3</f>
        <v>7073240</v>
      </c>
      <c r="L43" s="40" t="s">
        <v>12</v>
      </c>
      <c r="M43" s="39" t="s">
        <v>12</v>
      </c>
      <c r="N43" s="20" t="s">
        <v>379</v>
      </c>
      <c r="O43" s="29"/>
      <c r="P43" s="51"/>
      <c r="Q43" s="51"/>
      <c r="R43" s="51"/>
      <c r="S43" s="51"/>
      <c r="T43" s="51"/>
      <c r="U43" s="51"/>
      <c r="V43" s="51"/>
      <c r="W43" s="51"/>
      <c r="X43" s="51"/>
      <c r="Y43" s="51"/>
      <c r="Z43" s="52"/>
    </row>
    <row r="44" spans="1:26" ht="53.25" thickBot="1">
      <c r="A44" s="118">
        <f t="shared" si="0"/>
        <v>28</v>
      </c>
      <c r="B44" s="59" t="s">
        <v>88</v>
      </c>
      <c r="C44" s="7" t="s">
        <v>91</v>
      </c>
      <c r="D44" s="7" t="s">
        <v>93</v>
      </c>
      <c r="E44" s="8" t="s">
        <v>89</v>
      </c>
      <c r="F44" s="125">
        <v>112</v>
      </c>
      <c r="G44" s="134" t="s">
        <v>90</v>
      </c>
      <c r="H44" s="134" t="s">
        <v>371</v>
      </c>
      <c r="I44" s="117">
        <v>42206501000</v>
      </c>
      <c r="J44" s="23" t="s">
        <v>30</v>
      </c>
      <c r="K44" s="81">
        <v>7463519</v>
      </c>
      <c r="L44" s="40" t="s">
        <v>12</v>
      </c>
      <c r="M44" s="39" t="s">
        <v>12</v>
      </c>
      <c r="N44" s="20" t="s">
        <v>379</v>
      </c>
      <c r="O44" s="29"/>
      <c r="P44" s="10"/>
      <c r="Q44" s="10"/>
      <c r="R44" s="10"/>
      <c r="S44" s="10"/>
      <c r="T44" s="10"/>
      <c r="U44" s="10"/>
      <c r="V44" s="10"/>
      <c r="W44" s="10"/>
      <c r="X44" s="10"/>
      <c r="Y44" s="10"/>
      <c r="Z44" s="13"/>
    </row>
    <row r="45" spans="1:26" ht="53.25" thickBot="1">
      <c r="A45" s="118">
        <f t="shared" si="0"/>
        <v>29</v>
      </c>
      <c r="B45" s="59" t="s">
        <v>92</v>
      </c>
      <c r="C45" s="41">
        <v>6023010</v>
      </c>
      <c r="D45" s="42" t="s">
        <v>384</v>
      </c>
      <c r="E45" s="18" t="s">
        <v>74</v>
      </c>
      <c r="F45" s="125">
        <v>876</v>
      </c>
      <c r="G45" s="134" t="s">
        <v>62</v>
      </c>
      <c r="H45" s="134">
        <v>1</v>
      </c>
      <c r="I45" s="117">
        <v>42206501000</v>
      </c>
      <c r="J45" s="23" t="s">
        <v>30</v>
      </c>
      <c r="K45" s="62">
        <v>45000</v>
      </c>
      <c r="L45" s="40" t="s">
        <v>12</v>
      </c>
      <c r="M45" s="39" t="s">
        <v>12</v>
      </c>
      <c r="N45" s="20" t="s">
        <v>379</v>
      </c>
      <c r="O45" s="29"/>
      <c r="P45" s="10"/>
      <c r="Q45" s="10"/>
      <c r="R45" s="10"/>
      <c r="S45" s="10"/>
      <c r="T45" s="10"/>
      <c r="U45" s="10"/>
      <c r="V45" s="10"/>
      <c r="W45" s="10"/>
      <c r="X45" s="10"/>
      <c r="Y45" s="10"/>
      <c r="Z45" s="13"/>
    </row>
    <row r="46" spans="1:26" ht="53.25" thickBot="1">
      <c r="A46" s="118">
        <f t="shared" si="0"/>
        <v>30</v>
      </c>
      <c r="B46" s="59" t="s">
        <v>92</v>
      </c>
      <c r="C46" s="41">
        <v>6023010</v>
      </c>
      <c r="D46" s="42" t="s">
        <v>385</v>
      </c>
      <c r="E46" s="18" t="s">
        <v>74</v>
      </c>
      <c r="F46" s="125">
        <v>876</v>
      </c>
      <c r="G46" s="134" t="s">
        <v>62</v>
      </c>
      <c r="H46" s="134">
        <v>1</v>
      </c>
      <c r="I46" s="117">
        <v>42206501000</v>
      </c>
      <c r="J46" s="23" t="s">
        <v>30</v>
      </c>
      <c r="K46" s="62">
        <v>45000</v>
      </c>
      <c r="L46" s="40" t="s">
        <v>12</v>
      </c>
      <c r="M46" s="39" t="s">
        <v>12</v>
      </c>
      <c r="N46" s="20" t="s">
        <v>379</v>
      </c>
      <c r="O46" s="29"/>
      <c r="P46" s="10"/>
      <c r="Q46" s="10"/>
      <c r="R46" s="10"/>
      <c r="S46" s="10"/>
      <c r="T46" s="10"/>
      <c r="U46" s="10"/>
      <c r="V46" s="10"/>
      <c r="W46" s="10"/>
      <c r="X46" s="10"/>
      <c r="Y46" s="10"/>
      <c r="Z46" s="13"/>
    </row>
    <row r="47" spans="1:26" ht="53.25" thickBot="1">
      <c r="A47" s="118">
        <f t="shared" si="0"/>
        <v>31</v>
      </c>
      <c r="B47" s="59" t="s">
        <v>92</v>
      </c>
      <c r="C47" s="41">
        <v>6023010</v>
      </c>
      <c r="D47" s="42" t="s">
        <v>386</v>
      </c>
      <c r="E47" s="18" t="s">
        <v>74</v>
      </c>
      <c r="F47" s="125">
        <v>876</v>
      </c>
      <c r="G47" s="134" t="s">
        <v>62</v>
      </c>
      <c r="H47" s="134">
        <v>1</v>
      </c>
      <c r="I47" s="117">
        <v>42206501000</v>
      </c>
      <c r="J47" s="23" t="s">
        <v>30</v>
      </c>
      <c r="K47" s="62">
        <v>45000</v>
      </c>
      <c r="L47" s="40" t="s">
        <v>12</v>
      </c>
      <c r="M47" s="39" t="s">
        <v>12</v>
      </c>
      <c r="N47" s="20" t="s">
        <v>379</v>
      </c>
      <c r="O47" s="29"/>
      <c r="P47" s="10"/>
      <c r="Q47" s="10"/>
      <c r="R47" s="10"/>
      <c r="S47" s="10"/>
      <c r="T47" s="10"/>
      <c r="U47" s="10"/>
      <c r="V47" s="10"/>
      <c r="W47" s="10"/>
      <c r="X47" s="10"/>
      <c r="Y47" s="10"/>
      <c r="Z47" s="13"/>
    </row>
    <row r="48" spans="1:26" ht="53.25" thickBot="1">
      <c r="A48" s="118">
        <f t="shared" si="0"/>
        <v>32</v>
      </c>
      <c r="B48" s="59" t="s">
        <v>92</v>
      </c>
      <c r="C48" s="41">
        <v>6023010</v>
      </c>
      <c r="D48" s="42" t="s">
        <v>387</v>
      </c>
      <c r="E48" s="18" t="s">
        <v>74</v>
      </c>
      <c r="F48" s="125">
        <v>876</v>
      </c>
      <c r="G48" s="134" t="s">
        <v>62</v>
      </c>
      <c r="H48" s="134">
        <v>1</v>
      </c>
      <c r="I48" s="117">
        <v>42206501000</v>
      </c>
      <c r="J48" s="23" t="s">
        <v>30</v>
      </c>
      <c r="K48" s="62">
        <v>45000</v>
      </c>
      <c r="L48" s="40" t="s">
        <v>12</v>
      </c>
      <c r="M48" s="39" t="s">
        <v>12</v>
      </c>
      <c r="N48" s="20" t="s">
        <v>379</v>
      </c>
      <c r="O48" s="29"/>
      <c r="P48" s="10"/>
      <c r="Q48" s="10"/>
      <c r="R48" s="10"/>
      <c r="S48" s="10"/>
      <c r="T48" s="10"/>
      <c r="U48" s="10"/>
      <c r="V48" s="10"/>
      <c r="W48" s="10"/>
      <c r="X48" s="10"/>
      <c r="Y48" s="10"/>
      <c r="Z48" s="13"/>
    </row>
    <row r="49" spans="1:26" ht="53.25" thickBot="1">
      <c r="A49" s="118">
        <f t="shared" si="0"/>
        <v>33</v>
      </c>
      <c r="B49" s="59" t="s">
        <v>92</v>
      </c>
      <c r="C49" s="41">
        <v>6023010</v>
      </c>
      <c r="D49" s="42" t="s">
        <v>388</v>
      </c>
      <c r="E49" s="18" t="s">
        <v>74</v>
      </c>
      <c r="F49" s="125">
        <v>876</v>
      </c>
      <c r="G49" s="134" t="s">
        <v>62</v>
      </c>
      <c r="H49" s="134">
        <v>1</v>
      </c>
      <c r="I49" s="117">
        <v>42206501000</v>
      </c>
      <c r="J49" s="23" t="s">
        <v>30</v>
      </c>
      <c r="K49" s="62">
        <v>45000</v>
      </c>
      <c r="L49" s="40" t="s">
        <v>12</v>
      </c>
      <c r="M49" s="39" t="s">
        <v>12</v>
      </c>
      <c r="N49" s="20" t="s">
        <v>379</v>
      </c>
      <c r="O49" s="29"/>
      <c r="P49" s="10"/>
      <c r="Q49" s="10"/>
      <c r="R49" s="10"/>
      <c r="S49" s="10"/>
      <c r="T49" s="10"/>
      <c r="U49" s="10"/>
      <c r="V49" s="10"/>
      <c r="W49" s="10"/>
      <c r="X49" s="10"/>
      <c r="Y49" s="10"/>
      <c r="Z49" s="13"/>
    </row>
    <row r="50" spans="1:26" ht="53.25" thickBot="1">
      <c r="A50" s="118">
        <f t="shared" si="0"/>
        <v>34</v>
      </c>
      <c r="B50" s="59" t="s">
        <v>92</v>
      </c>
      <c r="C50" s="41">
        <v>6023010</v>
      </c>
      <c r="D50" s="42" t="s">
        <v>389</v>
      </c>
      <c r="E50" s="18" t="s">
        <v>74</v>
      </c>
      <c r="F50" s="125">
        <v>876</v>
      </c>
      <c r="G50" s="134" t="s">
        <v>62</v>
      </c>
      <c r="H50" s="134">
        <v>1</v>
      </c>
      <c r="I50" s="117">
        <v>42206501000</v>
      </c>
      <c r="J50" s="23" t="s">
        <v>30</v>
      </c>
      <c r="K50" s="62">
        <v>45000</v>
      </c>
      <c r="L50" s="40" t="s">
        <v>12</v>
      </c>
      <c r="M50" s="39" t="s">
        <v>12</v>
      </c>
      <c r="N50" s="20" t="s">
        <v>379</v>
      </c>
      <c r="O50" s="29"/>
      <c r="P50" s="10"/>
      <c r="Q50" s="10"/>
      <c r="R50" s="10"/>
      <c r="S50" s="10"/>
      <c r="T50" s="10"/>
      <c r="U50" s="10"/>
      <c r="V50" s="10"/>
      <c r="W50" s="10"/>
      <c r="X50" s="10"/>
      <c r="Y50" s="10"/>
      <c r="Z50" s="13"/>
    </row>
    <row r="51" spans="1:26" ht="53.25" thickBot="1">
      <c r="A51" s="118">
        <f t="shared" si="0"/>
        <v>35</v>
      </c>
      <c r="B51" s="59" t="s">
        <v>92</v>
      </c>
      <c r="C51" s="41">
        <v>6023010</v>
      </c>
      <c r="D51" s="42" t="s">
        <v>390</v>
      </c>
      <c r="E51" s="18" t="s">
        <v>74</v>
      </c>
      <c r="F51" s="125">
        <v>876</v>
      </c>
      <c r="G51" s="134" t="s">
        <v>62</v>
      </c>
      <c r="H51" s="134">
        <v>1</v>
      </c>
      <c r="I51" s="117">
        <v>42206501000</v>
      </c>
      <c r="J51" s="23" t="s">
        <v>30</v>
      </c>
      <c r="K51" s="62">
        <v>45000</v>
      </c>
      <c r="L51" s="40" t="s">
        <v>12</v>
      </c>
      <c r="M51" s="39" t="s">
        <v>12</v>
      </c>
      <c r="N51" s="20" t="s">
        <v>379</v>
      </c>
      <c r="O51" s="29"/>
      <c r="P51" s="10"/>
      <c r="Q51" s="10"/>
      <c r="R51" s="10"/>
      <c r="S51" s="10"/>
      <c r="T51" s="10"/>
      <c r="U51" s="10"/>
      <c r="V51" s="10"/>
      <c r="W51" s="10"/>
      <c r="X51" s="10"/>
      <c r="Y51" s="10"/>
      <c r="Z51" s="13"/>
    </row>
    <row r="52" spans="1:26" ht="53.25" thickBot="1">
      <c r="A52" s="118">
        <f t="shared" si="0"/>
        <v>36</v>
      </c>
      <c r="B52" s="59" t="s">
        <v>92</v>
      </c>
      <c r="C52" s="41">
        <v>6023010</v>
      </c>
      <c r="D52" s="42" t="s">
        <v>391</v>
      </c>
      <c r="E52" s="18" t="s">
        <v>74</v>
      </c>
      <c r="F52" s="125">
        <v>876</v>
      </c>
      <c r="G52" s="134" t="s">
        <v>62</v>
      </c>
      <c r="H52" s="134">
        <v>1</v>
      </c>
      <c r="I52" s="117">
        <v>42206501000</v>
      </c>
      <c r="J52" s="23" t="s">
        <v>30</v>
      </c>
      <c r="K52" s="62">
        <v>45000</v>
      </c>
      <c r="L52" s="40" t="s">
        <v>12</v>
      </c>
      <c r="M52" s="39" t="s">
        <v>12</v>
      </c>
      <c r="N52" s="20" t="s">
        <v>379</v>
      </c>
      <c r="O52" s="29"/>
      <c r="P52" s="10"/>
      <c r="Q52" s="10"/>
      <c r="R52" s="10"/>
      <c r="S52" s="10"/>
      <c r="T52" s="10"/>
      <c r="U52" s="10"/>
      <c r="V52" s="10"/>
      <c r="W52" s="10"/>
      <c r="X52" s="10"/>
      <c r="Y52" s="10"/>
      <c r="Z52" s="13"/>
    </row>
    <row r="53" spans="1:26" ht="53.25" thickBot="1">
      <c r="A53" s="118">
        <f t="shared" si="0"/>
        <v>37</v>
      </c>
      <c r="B53" s="59" t="s">
        <v>92</v>
      </c>
      <c r="C53" s="41">
        <v>6023010</v>
      </c>
      <c r="D53" s="42" t="s">
        <v>392</v>
      </c>
      <c r="E53" s="18" t="s">
        <v>74</v>
      </c>
      <c r="F53" s="125">
        <v>876</v>
      </c>
      <c r="G53" s="134" t="s">
        <v>62</v>
      </c>
      <c r="H53" s="134">
        <v>1</v>
      </c>
      <c r="I53" s="117">
        <v>42206501000</v>
      </c>
      <c r="J53" s="23" t="s">
        <v>30</v>
      </c>
      <c r="K53" s="62">
        <v>45000</v>
      </c>
      <c r="L53" s="40" t="s">
        <v>12</v>
      </c>
      <c r="M53" s="39" t="s">
        <v>12</v>
      </c>
      <c r="N53" s="20" t="s">
        <v>379</v>
      </c>
      <c r="O53" s="29"/>
      <c r="P53" s="10"/>
      <c r="Q53" s="10"/>
      <c r="R53" s="10"/>
      <c r="S53" s="10"/>
      <c r="T53" s="10"/>
      <c r="U53" s="10"/>
      <c r="V53" s="10"/>
      <c r="W53" s="10"/>
      <c r="X53" s="10"/>
      <c r="Y53" s="10"/>
      <c r="Z53" s="13"/>
    </row>
    <row r="54" spans="1:26" ht="53.25" thickBot="1">
      <c r="A54" s="118">
        <f t="shared" si="0"/>
        <v>38</v>
      </c>
      <c r="B54" s="59" t="s">
        <v>92</v>
      </c>
      <c r="C54" s="41">
        <v>6023010</v>
      </c>
      <c r="D54" s="42" t="s">
        <v>393</v>
      </c>
      <c r="E54" s="18" t="s">
        <v>74</v>
      </c>
      <c r="F54" s="125">
        <v>876</v>
      </c>
      <c r="G54" s="134" t="s">
        <v>62</v>
      </c>
      <c r="H54" s="134">
        <v>1</v>
      </c>
      <c r="I54" s="117">
        <v>42206501000</v>
      </c>
      <c r="J54" s="23" t="s">
        <v>30</v>
      </c>
      <c r="K54" s="62">
        <v>45000</v>
      </c>
      <c r="L54" s="40" t="s">
        <v>12</v>
      </c>
      <c r="M54" s="39" t="s">
        <v>12</v>
      </c>
      <c r="N54" s="20" t="s">
        <v>379</v>
      </c>
      <c r="O54" s="29"/>
      <c r="P54" s="10"/>
      <c r="Q54" s="10"/>
      <c r="R54" s="10"/>
      <c r="S54" s="10"/>
      <c r="T54" s="10"/>
      <c r="U54" s="10"/>
      <c r="V54" s="10"/>
      <c r="W54" s="10"/>
      <c r="X54" s="10"/>
      <c r="Y54" s="10"/>
      <c r="Z54" s="13"/>
    </row>
    <row r="55" spans="1:26" ht="53.25" thickBot="1">
      <c r="A55" s="118">
        <f t="shared" si="0"/>
        <v>39</v>
      </c>
      <c r="B55" s="59" t="s">
        <v>92</v>
      </c>
      <c r="C55" s="41">
        <v>6023010</v>
      </c>
      <c r="D55" s="42" t="s">
        <v>394</v>
      </c>
      <c r="E55" s="18" t="s">
        <v>74</v>
      </c>
      <c r="F55" s="125">
        <v>876</v>
      </c>
      <c r="G55" s="134" t="s">
        <v>62</v>
      </c>
      <c r="H55" s="134">
        <v>1</v>
      </c>
      <c r="I55" s="117">
        <v>42206501000</v>
      </c>
      <c r="J55" s="23" t="s">
        <v>30</v>
      </c>
      <c r="K55" s="62">
        <v>45000</v>
      </c>
      <c r="L55" s="40" t="s">
        <v>12</v>
      </c>
      <c r="M55" s="39" t="s">
        <v>12</v>
      </c>
      <c r="N55" s="20" t="s">
        <v>379</v>
      </c>
      <c r="O55" s="29"/>
      <c r="P55" s="10"/>
      <c r="Q55" s="10"/>
      <c r="R55" s="10"/>
      <c r="S55" s="10"/>
      <c r="T55" s="10"/>
      <c r="U55" s="10"/>
      <c r="V55" s="10"/>
      <c r="W55" s="10"/>
      <c r="X55" s="10"/>
      <c r="Y55" s="10"/>
      <c r="Z55" s="13"/>
    </row>
    <row r="56" spans="1:26" ht="53.25" thickBot="1">
      <c r="A56" s="118">
        <f t="shared" si="0"/>
        <v>40</v>
      </c>
      <c r="B56" s="59" t="s">
        <v>92</v>
      </c>
      <c r="C56" s="41">
        <v>6023010</v>
      </c>
      <c r="D56" s="42" t="s">
        <v>395</v>
      </c>
      <c r="E56" s="18" t="s">
        <v>74</v>
      </c>
      <c r="F56" s="125">
        <v>876</v>
      </c>
      <c r="G56" s="134" t="s">
        <v>62</v>
      </c>
      <c r="H56" s="134">
        <v>1</v>
      </c>
      <c r="I56" s="117">
        <v>42206501000</v>
      </c>
      <c r="J56" s="23" t="s">
        <v>30</v>
      </c>
      <c r="K56" s="62">
        <v>45000</v>
      </c>
      <c r="L56" s="40" t="s">
        <v>12</v>
      </c>
      <c r="M56" s="39" t="s">
        <v>12</v>
      </c>
      <c r="N56" s="20" t="s">
        <v>379</v>
      </c>
      <c r="O56" s="29"/>
      <c r="P56" s="10"/>
      <c r="Q56" s="10"/>
      <c r="R56" s="10"/>
      <c r="S56" s="10"/>
      <c r="T56" s="10"/>
      <c r="U56" s="10"/>
      <c r="V56" s="10"/>
      <c r="W56" s="10"/>
      <c r="X56" s="10"/>
      <c r="Y56" s="10"/>
      <c r="Z56" s="13"/>
    </row>
    <row r="57" spans="1:26" ht="53.25" thickBot="1">
      <c r="A57" s="118">
        <f t="shared" si="0"/>
        <v>41</v>
      </c>
      <c r="B57" s="59" t="s">
        <v>92</v>
      </c>
      <c r="C57" s="41">
        <v>6023010</v>
      </c>
      <c r="D57" s="42" t="s">
        <v>396</v>
      </c>
      <c r="E57" s="18" t="s">
        <v>74</v>
      </c>
      <c r="F57" s="125">
        <v>876</v>
      </c>
      <c r="G57" s="134" t="s">
        <v>62</v>
      </c>
      <c r="H57" s="134">
        <v>1</v>
      </c>
      <c r="I57" s="117">
        <v>42206501000</v>
      </c>
      <c r="J57" s="23" t="s">
        <v>30</v>
      </c>
      <c r="K57" s="62">
        <v>45000</v>
      </c>
      <c r="L57" s="40" t="s">
        <v>12</v>
      </c>
      <c r="M57" s="39" t="s">
        <v>12</v>
      </c>
      <c r="N57" s="20" t="s">
        <v>379</v>
      </c>
      <c r="O57" s="29"/>
      <c r="P57" s="10"/>
      <c r="Q57" s="10"/>
      <c r="R57" s="10"/>
      <c r="S57" s="10"/>
      <c r="T57" s="10"/>
      <c r="U57" s="10"/>
      <c r="V57" s="10"/>
      <c r="W57" s="10"/>
      <c r="X57" s="10"/>
      <c r="Y57" s="10"/>
      <c r="Z57" s="13"/>
    </row>
    <row r="58" spans="1:26" ht="53.25" thickBot="1">
      <c r="A58" s="118">
        <f t="shared" si="0"/>
        <v>42</v>
      </c>
      <c r="B58" s="59" t="s">
        <v>92</v>
      </c>
      <c r="C58" s="41">
        <v>6023010</v>
      </c>
      <c r="D58" s="42" t="s">
        <v>397</v>
      </c>
      <c r="E58" s="18" t="s">
        <v>74</v>
      </c>
      <c r="F58" s="125">
        <v>876</v>
      </c>
      <c r="G58" s="134" t="s">
        <v>62</v>
      </c>
      <c r="H58" s="134">
        <v>1</v>
      </c>
      <c r="I58" s="117">
        <v>42206501000</v>
      </c>
      <c r="J58" s="23" t="s">
        <v>30</v>
      </c>
      <c r="K58" s="62">
        <v>45000</v>
      </c>
      <c r="L58" s="40" t="s">
        <v>12</v>
      </c>
      <c r="M58" s="39" t="s">
        <v>12</v>
      </c>
      <c r="N58" s="20" t="s">
        <v>379</v>
      </c>
      <c r="O58" s="29"/>
      <c r="P58" s="10"/>
      <c r="Q58" s="10"/>
      <c r="R58" s="10"/>
      <c r="S58" s="10"/>
      <c r="T58" s="10"/>
      <c r="U58" s="10"/>
      <c r="V58" s="10"/>
      <c r="W58" s="10"/>
      <c r="X58" s="10"/>
      <c r="Y58" s="10"/>
      <c r="Z58" s="13"/>
    </row>
    <row r="59" spans="1:26" ht="53.25" thickBot="1">
      <c r="A59" s="118">
        <f t="shared" si="0"/>
        <v>43</v>
      </c>
      <c r="B59" s="59" t="s">
        <v>92</v>
      </c>
      <c r="C59" s="41">
        <v>6023010</v>
      </c>
      <c r="D59" s="42" t="s">
        <v>398</v>
      </c>
      <c r="E59" s="18" t="s">
        <v>74</v>
      </c>
      <c r="F59" s="125">
        <v>876</v>
      </c>
      <c r="G59" s="134" t="s">
        <v>62</v>
      </c>
      <c r="H59" s="134">
        <v>1</v>
      </c>
      <c r="I59" s="117">
        <v>42206501000</v>
      </c>
      <c r="J59" s="23" t="s">
        <v>30</v>
      </c>
      <c r="K59" s="62">
        <v>45000</v>
      </c>
      <c r="L59" s="40" t="s">
        <v>12</v>
      </c>
      <c r="M59" s="39" t="s">
        <v>12</v>
      </c>
      <c r="N59" s="20" t="s">
        <v>379</v>
      </c>
      <c r="O59" s="29"/>
      <c r="P59" s="10"/>
      <c r="Q59" s="10"/>
      <c r="R59" s="10"/>
      <c r="S59" s="10"/>
      <c r="T59" s="10"/>
      <c r="U59" s="10"/>
      <c r="V59" s="10"/>
      <c r="W59" s="10"/>
      <c r="X59" s="10"/>
      <c r="Y59" s="10"/>
      <c r="Z59" s="13"/>
    </row>
    <row r="60" spans="1:26" ht="53.25" thickBot="1">
      <c r="A60" s="118">
        <f t="shared" si="0"/>
        <v>44</v>
      </c>
      <c r="B60" s="59" t="s">
        <v>132</v>
      </c>
      <c r="C60" s="41">
        <v>7523040</v>
      </c>
      <c r="D60" s="42" t="s">
        <v>133</v>
      </c>
      <c r="E60" s="18" t="s">
        <v>134</v>
      </c>
      <c r="F60" s="125">
        <v>796</v>
      </c>
      <c r="G60" s="136" t="s">
        <v>9</v>
      </c>
      <c r="H60" s="136">
        <v>1</v>
      </c>
      <c r="I60" s="117">
        <v>42206501000</v>
      </c>
      <c r="J60" s="23" t="s">
        <v>30</v>
      </c>
      <c r="K60" s="62">
        <v>5100</v>
      </c>
      <c r="L60" s="40" t="s">
        <v>12</v>
      </c>
      <c r="M60" s="39" t="s">
        <v>12</v>
      </c>
      <c r="N60" s="20" t="s">
        <v>379</v>
      </c>
      <c r="O60" s="29"/>
      <c r="P60" s="10"/>
      <c r="Q60" s="10"/>
      <c r="R60" s="10"/>
      <c r="S60" s="10"/>
      <c r="T60" s="10"/>
      <c r="U60" s="10"/>
      <c r="V60" s="10"/>
      <c r="W60" s="10"/>
      <c r="X60" s="10"/>
      <c r="Y60" s="10"/>
      <c r="Z60" s="13"/>
    </row>
    <row r="61" spans="1:26" ht="53.25" thickBot="1">
      <c r="A61" s="118">
        <f t="shared" si="0"/>
        <v>45</v>
      </c>
      <c r="B61" s="59" t="s">
        <v>139</v>
      </c>
      <c r="C61" s="7">
        <v>7523060</v>
      </c>
      <c r="D61" s="7" t="s">
        <v>138</v>
      </c>
      <c r="E61" s="43" t="s">
        <v>51</v>
      </c>
      <c r="F61" s="125">
        <v>876</v>
      </c>
      <c r="G61" s="128" t="s">
        <v>62</v>
      </c>
      <c r="H61" s="128">
        <v>1</v>
      </c>
      <c r="I61" s="117">
        <v>42206501000</v>
      </c>
      <c r="J61" s="23" t="s">
        <v>128</v>
      </c>
      <c r="K61" s="62">
        <v>120000</v>
      </c>
      <c r="L61" s="40" t="s">
        <v>12</v>
      </c>
      <c r="M61" s="39" t="s">
        <v>12</v>
      </c>
      <c r="N61" s="20" t="s">
        <v>379</v>
      </c>
      <c r="O61" s="29"/>
      <c r="P61" s="10"/>
      <c r="Q61" s="10"/>
      <c r="R61" s="10"/>
      <c r="S61" s="10"/>
      <c r="T61" s="10"/>
      <c r="U61" s="10"/>
      <c r="V61" s="10"/>
      <c r="W61" s="10"/>
      <c r="X61" s="10"/>
      <c r="Y61" s="10"/>
      <c r="Z61" s="13"/>
    </row>
    <row r="62" spans="1:26" s="53" customFormat="1" ht="53.25" thickBot="1">
      <c r="A62" s="118">
        <f t="shared" si="0"/>
        <v>46</v>
      </c>
      <c r="B62" s="99" t="s">
        <v>94</v>
      </c>
      <c r="C62" s="54">
        <v>7523040</v>
      </c>
      <c r="D62" s="55" t="s">
        <v>95</v>
      </c>
      <c r="E62" s="56" t="s">
        <v>96</v>
      </c>
      <c r="F62" s="132">
        <v>796</v>
      </c>
      <c r="G62" s="132" t="s">
        <v>9</v>
      </c>
      <c r="H62" s="147">
        <v>6</v>
      </c>
      <c r="I62" s="117">
        <v>42206501000</v>
      </c>
      <c r="J62" s="23" t="s">
        <v>30</v>
      </c>
      <c r="K62" s="62">
        <v>60000</v>
      </c>
      <c r="L62" s="40" t="s">
        <v>12</v>
      </c>
      <c r="M62" s="39" t="s">
        <v>12</v>
      </c>
      <c r="N62" s="20" t="s">
        <v>379</v>
      </c>
      <c r="O62" s="29"/>
      <c r="P62" s="51"/>
      <c r="Q62" s="51"/>
      <c r="R62" s="51"/>
      <c r="S62" s="51"/>
      <c r="T62" s="51"/>
      <c r="U62" s="51"/>
      <c r="V62" s="51"/>
      <c r="W62" s="51"/>
      <c r="X62" s="51"/>
      <c r="Y62" s="51"/>
      <c r="Z62" s="52"/>
    </row>
    <row r="63" spans="1:26" s="53" customFormat="1" ht="53.25" thickBot="1">
      <c r="A63" s="118">
        <f t="shared" si="0"/>
        <v>47</v>
      </c>
      <c r="B63" s="99" t="s">
        <v>50</v>
      </c>
      <c r="C63" s="54">
        <v>5020300</v>
      </c>
      <c r="D63" s="55" t="s">
        <v>135</v>
      </c>
      <c r="E63" s="43" t="s">
        <v>51</v>
      </c>
      <c r="F63" s="132">
        <v>796</v>
      </c>
      <c r="G63" s="132" t="s">
        <v>9</v>
      </c>
      <c r="H63" s="147">
        <v>4</v>
      </c>
      <c r="I63" s="117">
        <v>42206501000</v>
      </c>
      <c r="J63" s="64" t="s">
        <v>30</v>
      </c>
      <c r="K63" s="62">
        <v>100000</v>
      </c>
      <c r="L63" s="40" t="s">
        <v>12</v>
      </c>
      <c r="M63" s="39" t="s">
        <v>12</v>
      </c>
      <c r="N63" s="20" t="s">
        <v>379</v>
      </c>
      <c r="O63" s="29"/>
      <c r="P63" s="51"/>
      <c r="Q63" s="51"/>
      <c r="R63" s="51"/>
      <c r="S63" s="51"/>
      <c r="T63" s="51"/>
      <c r="U63" s="51"/>
      <c r="V63" s="51"/>
      <c r="W63" s="51"/>
      <c r="X63" s="51"/>
      <c r="Y63" s="51"/>
      <c r="Z63" s="52"/>
    </row>
    <row r="64" spans="1:26" s="53" customFormat="1" ht="53.25" thickBot="1">
      <c r="A64" s="118">
        <f t="shared" si="0"/>
        <v>48</v>
      </c>
      <c r="B64" s="99" t="s">
        <v>50</v>
      </c>
      <c r="C64" s="54">
        <v>5020300</v>
      </c>
      <c r="D64" s="55" t="s">
        <v>136</v>
      </c>
      <c r="E64" s="43" t="s">
        <v>51</v>
      </c>
      <c r="F64" s="132">
        <v>796</v>
      </c>
      <c r="G64" s="132" t="s">
        <v>9</v>
      </c>
      <c r="H64" s="147">
        <v>1</v>
      </c>
      <c r="I64" s="117">
        <v>42206501000</v>
      </c>
      <c r="J64" s="64" t="s">
        <v>30</v>
      </c>
      <c r="K64" s="62">
        <v>40000</v>
      </c>
      <c r="L64" s="40" t="s">
        <v>12</v>
      </c>
      <c r="M64" s="39" t="s">
        <v>12</v>
      </c>
      <c r="N64" s="20" t="s">
        <v>379</v>
      </c>
      <c r="O64" s="29"/>
      <c r="P64" s="51"/>
      <c r="Q64" s="51"/>
      <c r="R64" s="51"/>
      <c r="S64" s="51"/>
      <c r="T64" s="51"/>
      <c r="U64" s="51"/>
      <c r="V64" s="51"/>
      <c r="W64" s="51"/>
      <c r="X64" s="51"/>
      <c r="Y64" s="51"/>
      <c r="Z64" s="52"/>
    </row>
    <row r="65" spans="1:26" s="53" customFormat="1" ht="53.25" thickBot="1">
      <c r="A65" s="118">
        <f t="shared" si="0"/>
        <v>49</v>
      </c>
      <c r="B65" s="99" t="s">
        <v>50</v>
      </c>
      <c r="C65" s="54">
        <v>5020300</v>
      </c>
      <c r="D65" s="55" t="s">
        <v>137</v>
      </c>
      <c r="E65" s="43" t="s">
        <v>51</v>
      </c>
      <c r="F65" s="132">
        <v>796</v>
      </c>
      <c r="G65" s="132" t="s">
        <v>9</v>
      </c>
      <c r="H65" s="147">
        <v>1</v>
      </c>
      <c r="I65" s="117">
        <v>42206501000</v>
      </c>
      <c r="J65" s="64" t="s">
        <v>30</v>
      </c>
      <c r="K65" s="62">
        <v>25000</v>
      </c>
      <c r="L65" s="40" t="s">
        <v>12</v>
      </c>
      <c r="M65" s="39" t="s">
        <v>12</v>
      </c>
      <c r="N65" s="20" t="s">
        <v>379</v>
      </c>
      <c r="O65" s="29"/>
      <c r="P65" s="51"/>
      <c r="Q65" s="51"/>
      <c r="R65" s="51"/>
      <c r="S65" s="51"/>
      <c r="T65" s="51"/>
      <c r="U65" s="51"/>
      <c r="V65" s="51"/>
      <c r="W65" s="51"/>
      <c r="X65" s="51"/>
      <c r="Y65" s="51"/>
      <c r="Z65" s="52"/>
    </row>
    <row r="66" spans="1:26" ht="53.25" thickBot="1">
      <c r="A66" s="118">
        <f t="shared" si="0"/>
        <v>50</v>
      </c>
      <c r="B66" s="99" t="s">
        <v>97</v>
      </c>
      <c r="C66" s="54">
        <v>5020200</v>
      </c>
      <c r="D66" s="55" t="s">
        <v>98</v>
      </c>
      <c r="E66" s="55" t="s">
        <v>99</v>
      </c>
      <c r="F66" s="148">
        <v>642</v>
      </c>
      <c r="G66" s="126" t="s">
        <v>64</v>
      </c>
      <c r="H66" s="147">
        <v>70</v>
      </c>
      <c r="I66" s="117">
        <v>42206501000</v>
      </c>
      <c r="J66" s="23" t="s">
        <v>30</v>
      </c>
      <c r="K66" s="62">
        <v>210000</v>
      </c>
      <c r="L66" s="40" t="s">
        <v>12</v>
      </c>
      <c r="M66" s="39" t="s">
        <v>12</v>
      </c>
      <c r="N66" s="20" t="s">
        <v>379</v>
      </c>
      <c r="O66" s="29"/>
      <c r="P66" s="10"/>
      <c r="Q66" s="10"/>
      <c r="R66" s="10"/>
      <c r="S66" s="10"/>
      <c r="T66" s="10"/>
      <c r="U66" s="10"/>
      <c r="V66" s="10"/>
      <c r="W66" s="10"/>
      <c r="X66" s="10"/>
      <c r="Y66" s="10"/>
      <c r="Z66" s="13"/>
    </row>
    <row r="67" spans="1:26" ht="53.25" thickBot="1">
      <c r="A67" s="118">
        <f t="shared" si="0"/>
        <v>51</v>
      </c>
      <c r="B67" s="96" t="s">
        <v>82</v>
      </c>
      <c r="C67" s="18">
        <v>6613021</v>
      </c>
      <c r="D67" s="18" t="s">
        <v>84</v>
      </c>
      <c r="E67" s="36" t="s">
        <v>83</v>
      </c>
      <c r="F67" s="125">
        <v>642</v>
      </c>
      <c r="G67" s="126" t="s">
        <v>64</v>
      </c>
      <c r="H67" s="126">
        <v>70</v>
      </c>
      <c r="I67" s="117">
        <v>42206501000</v>
      </c>
      <c r="J67" s="23" t="s">
        <v>30</v>
      </c>
      <c r="K67" s="81">
        <v>104000</v>
      </c>
      <c r="L67" s="40" t="s">
        <v>12</v>
      </c>
      <c r="M67" s="39" t="s">
        <v>12</v>
      </c>
      <c r="N67" s="20" t="s">
        <v>379</v>
      </c>
      <c r="O67" s="29"/>
      <c r="P67" s="10"/>
      <c r="Q67" s="10"/>
      <c r="R67" s="10"/>
      <c r="S67" s="10"/>
      <c r="T67" s="10"/>
      <c r="U67" s="10"/>
      <c r="V67" s="10"/>
      <c r="W67" s="10"/>
      <c r="X67" s="10"/>
      <c r="Y67" s="10"/>
      <c r="Z67" s="13"/>
    </row>
    <row r="68" spans="1:26" ht="53.25" thickBot="1">
      <c r="A68" s="118">
        <f t="shared" si="0"/>
        <v>52</v>
      </c>
      <c r="B68" s="59" t="s">
        <v>50</v>
      </c>
      <c r="C68" s="7">
        <v>5020000</v>
      </c>
      <c r="D68" s="7" t="s">
        <v>400</v>
      </c>
      <c r="E68" s="43" t="s">
        <v>51</v>
      </c>
      <c r="F68" s="125">
        <v>876</v>
      </c>
      <c r="G68" s="128" t="s">
        <v>62</v>
      </c>
      <c r="H68" s="128">
        <v>1</v>
      </c>
      <c r="I68" s="117">
        <v>42206501000</v>
      </c>
      <c r="J68" s="23" t="s">
        <v>30</v>
      </c>
      <c r="K68" s="62">
        <v>15000</v>
      </c>
      <c r="L68" s="40" t="s">
        <v>12</v>
      </c>
      <c r="M68" s="39" t="s">
        <v>12</v>
      </c>
      <c r="N68" s="20" t="s">
        <v>379</v>
      </c>
      <c r="O68" s="29"/>
      <c r="P68" s="10"/>
      <c r="Q68" s="10"/>
      <c r="R68" s="10"/>
      <c r="S68" s="10"/>
      <c r="T68" s="10"/>
      <c r="U68" s="10"/>
      <c r="V68" s="10"/>
      <c r="W68" s="10"/>
      <c r="X68" s="10"/>
      <c r="Y68" s="10"/>
      <c r="Z68" s="13"/>
    </row>
    <row r="69" spans="1:26" ht="53.25" thickBot="1">
      <c r="A69" s="118">
        <f t="shared" si="0"/>
        <v>53</v>
      </c>
      <c r="B69" s="59" t="s">
        <v>50</v>
      </c>
      <c r="C69" s="7">
        <v>5020000</v>
      </c>
      <c r="D69" s="7" t="s">
        <v>401</v>
      </c>
      <c r="E69" s="43" t="s">
        <v>51</v>
      </c>
      <c r="F69" s="125">
        <v>876</v>
      </c>
      <c r="G69" s="128" t="s">
        <v>62</v>
      </c>
      <c r="H69" s="128">
        <v>1</v>
      </c>
      <c r="I69" s="117">
        <v>42206501000</v>
      </c>
      <c r="J69" s="23" t="s">
        <v>30</v>
      </c>
      <c r="K69" s="62">
        <v>15000</v>
      </c>
      <c r="L69" s="40" t="s">
        <v>12</v>
      </c>
      <c r="M69" s="39" t="s">
        <v>12</v>
      </c>
      <c r="N69" s="20" t="s">
        <v>379</v>
      </c>
      <c r="O69" s="29"/>
      <c r="P69" s="10"/>
      <c r="Q69" s="10"/>
      <c r="R69" s="10"/>
      <c r="S69" s="10"/>
      <c r="T69" s="10"/>
      <c r="U69" s="10"/>
      <c r="V69" s="10"/>
      <c r="W69" s="10"/>
      <c r="X69" s="10"/>
      <c r="Y69" s="10"/>
      <c r="Z69" s="13"/>
    </row>
    <row r="70" spans="1:26" ht="53.25" thickBot="1">
      <c r="A70" s="118">
        <f t="shared" si="0"/>
        <v>54</v>
      </c>
      <c r="B70" s="59" t="s">
        <v>50</v>
      </c>
      <c r="C70" s="7">
        <v>5020000</v>
      </c>
      <c r="D70" s="7" t="s">
        <v>402</v>
      </c>
      <c r="E70" s="43" t="s">
        <v>51</v>
      </c>
      <c r="F70" s="125">
        <v>876</v>
      </c>
      <c r="G70" s="128" t="s">
        <v>62</v>
      </c>
      <c r="H70" s="128">
        <v>1</v>
      </c>
      <c r="I70" s="117">
        <v>42206501000</v>
      </c>
      <c r="J70" s="23" t="s">
        <v>30</v>
      </c>
      <c r="K70" s="62">
        <v>15000</v>
      </c>
      <c r="L70" s="40" t="s">
        <v>12</v>
      </c>
      <c r="M70" s="39" t="s">
        <v>12</v>
      </c>
      <c r="N70" s="20" t="s">
        <v>379</v>
      </c>
      <c r="O70" s="29"/>
      <c r="P70" s="10"/>
      <c r="Q70" s="10"/>
      <c r="R70" s="10"/>
      <c r="S70" s="10"/>
      <c r="T70" s="10"/>
      <c r="U70" s="10"/>
      <c r="V70" s="10"/>
      <c r="W70" s="10"/>
      <c r="X70" s="10"/>
      <c r="Y70" s="10"/>
      <c r="Z70" s="13"/>
    </row>
    <row r="71" spans="1:26" ht="53.25" thickBot="1">
      <c r="A71" s="118">
        <f t="shared" si="0"/>
        <v>55</v>
      </c>
      <c r="B71" s="59" t="s">
        <v>50</v>
      </c>
      <c r="C71" s="7">
        <v>5020000</v>
      </c>
      <c r="D71" s="7" t="s">
        <v>403</v>
      </c>
      <c r="E71" s="43" t="s">
        <v>51</v>
      </c>
      <c r="F71" s="125">
        <v>876</v>
      </c>
      <c r="G71" s="128" t="s">
        <v>62</v>
      </c>
      <c r="H71" s="128">
        <v>1</v>
      </c>
      <c r="I71" s="117">
        <v>42206501000</v>
      </c>
      <c r="J71" s="23" t="s">
        <v>30</v>
      </c>
      <c r="K71" s="62">
        <v>15000</v>
      </c>
      <c r="L71" s="40" t="s">
        <v>12</v>
      </c>
      <c r="M71" s="39" t="s">
        <v>12</v>
      </c>
      <c r="N71" s="20" t="s">
        <v>379</v>
      </c>
      <c r="O71" s="29"/>
      <c r="P71" s="10"/>
      <c r="Q71" s="10"/>
      <c r="R71" s="10"/>
      <c r="S71" s="10"/>
      <c r="T71" s="10"/>
      <c r="U71" s="10"/>
      <c r="V71" s="10"/>
      <c r="W71" s="10"/>
      <c r="X71" s="10"/>
      <c r="Y71" s="10"/>
      <c r="Z71" s="13"/>
    </row>
    <row r="72" spans="1:26" ht="53.25" thickBot="1">
      <c r="A72" s="118">
        <f t="shared" si="0"/>
        <v>56</v>
      </c>
      <c r="B72" s="59" t="s">
        <v>50</v>
      </c>
      <c r="C72" s="7">
        <v>5020000</v>
      </c>
      <c r="D72" s="7" t="s">
        <v>404</v>
      </c>
      <c r="E72" s="43" t="s">
        <v>51</v>
      </c>
      <c r="F72" s="125">
        <v>876</v>
      </c>
      <c r="G72" s="128" t="s">
        <v>62</v>
      </c>
      <c r="H72" s="128">
        <v>1</v>
      </c>
      <c r="I72" s="117">
        <v>42206501000</v>
      </c>
      <c r="J72" s="23" t="s">
        <v>30</v>
      </c>
      <c r="K72" s="62">
        <v>15000</v>
      </c>
      <c r="L72" s="40" t="s">
        <v>12</v>
      </c>
      <c r="M72" s="39" t="s">
        <v>12</v>
      </c>
      <c r="N72" s="20" t="s">
        <v>379</v>
      </c>
      <c r="O72" s="29"/>
      <c r="P72" s="10"/>
      <c r="Q72" s="10"/>
      <c r="R72" s="10"/>
      <c r="S72" s="10"/>
      <c r="T72" s="10"/>
      <c r="U72" s="10"/>
      <c r="V72" s="10"/>
      <c r="W72" s="10"/>
      <c r="X72" s="10"/>
      <c r="Y72" s="10"/>
      <c r="Z72" s="13"/>
    </row>
    <row r="73" spans="1:26" ht="53.25" thickBot="1">
      <c r="A73" s="118">
        <f t="shared" si="0"/>
        <v>57</v>
      </c>
      <c r="B73" s="59" t="s">
        <v>50</v>
      </c>
      <c r="C73" s="7">
        <v>5020000</v>
      </c>
      <c r="D73" s="7" t="s">
        <v>405</v>
      </c>
      <c r="E73" s="43" t="s">
        <v>51</v>
      </c>
      <c r="F73" s="125">
        <v>876</v>
      </c>
      <c r="G73" s="128" t="s">
        <v>62</v>
      </c>
      <c r="H73" s="128">
        <v>1</v>
      </c>
      <c r="I73" s="117">
        <v>42206501000</v>
      </c>
      <c r="J73" s="23" t="s">
        <v>30</v>
      </c>
      <c r="K73" s="62">
        <v>15000</v>
      </c>
      <c r="L73" s="40" t="s">
        <v>12</v>
      </c>
      <c r="M73" s="39" t="s">
        <v>12</v>
      </c>
      <c r="N73" s="20" t="s">
        <v>379</v>
      </c>
      <c r="O73" s="29"/>
      <c r="P73" s="10"/>
      <c r="Q73" s="10"/>
      <c r="R73" s="10"/>
      <c r="S73" s="10"/>
      <c r="T73" s="10"/>
      <c r="U73" s="10"/>
      <c r="V73" s="10"/>
      <c r="W73" s="10"/>
      <c r="X73" s="10"/>
      <c r="Y73" s="10"/>
      <c r="Z73" s="13"/>
    </row>
    <row r="74" spans="1:26" ht="53.25" thickBot="1">
      <c r="A74" s="118">
        <f t="shared" si="0"/>
        <v>58</v>
      </c>
      <c r="B74" s="59" t="s">
        <v>50</v>
      </c>
      <c r="C74" s="7">
        <v>5020000</v>
      </c>
      <c r="D74" s="7" t="s">
        <v>406</v>
      </c>
      <c r="E74" s="43" t="s">
        <v>51</v>
      </c>
      <c r="F74" s="125">
        <v>876</v>
      </c>
      <c r="G74" s="128" t="s">
        <v>62</v>
      </c>
      <c r="H74" s="128">
        <v>1</v>
      </c>
      <c r="I74" s="117">
        <v>42206501000</v>
      </c>
      <c r="J74" s="23" t="s">
        <v>30</v>
      </c>
      <c r="K74" s="62">
        <v>15000</v>
      </c>
      <c r="L74" s="40" t="s">
        <v>12</v>
      </c>
      <c r="M74" s="39" t="s">
        <v>12</v>
      </c>
      <c r="N74" s="20" t="s">
        <v>379</v>
      </c>
      <c r="O74" s="29"/>
      <c r="P74" s="10"/>
      <c r="Q74" s="10"/>
      <c r="R74" s="10"/>
      <c r="S74" s="10"/>
      <c r="T74" s="10"/>
      <c r="U74" s="10"/>
      <c r="V74" s="10"/>
      <c r="W74" s="10"/>
      <c r="X74" s="10"/>
      <c r="Y74" s="10"/>
      <c r="Z74" s="13"/>
    </row>
    <row r="75" spans="1:26" ht="53.25" thickBot="1">
      <c r="A75" s="118">
        <f t="shared" si="0"/>
        <v>59</v>
      </c>
      <c r="B75" s="59" t="s">
        <v>50</v>
      </c>
      <c r="C75" s="7">
        <v>5020000</v>
      </c>
      <c r="D75" s="7" t="s">
        <v>407</v>
      </c>
      <c r="E75" s="43" t="s">
        <v>51</v>
      </c>
      <c r="F75" s="125">
        <v>876</v>
      </c>
      <c r="G75" s="128" t="s">
        <v>62</v>
      </c>
      <c r="H75" s="128">
        <v>1</v>
      </c>
      <c r="I75" s="117">
        <v>42206501000</v>
      </c>
      <c r="J75" s="23" t="s">
        <v>30</v>
      </c>
      <c r="K75" s="62">
        <v>15000</v>
      </c>
      <c r="L75" s="40" t="s">
        <v>12</v>
      </c>
      <c r="M75" s="39" t="s">
        <v>12</v>
      </c>
      <c r="N75" s="20" t="s">
        <v>379</v>
      </c>
      <c r="O75" s="29"/>
      <c r="P75" s="10"/>
      <c r="Q75" s="10"/>
      <c r="R75" s="10"/>
      <c r="S75" s="10"/>
      <c r="T75" s="10"/>
      <c r="U75" s="10"/>
      <c r="V75" s="10"/>
      <c r="W75" s="10"/>
      <c r="X75" s="10"/>
      <c r="Y75" s="10"/>
      <c r="Z75" s="13"/>
    </row>
    <row r="76" spans="1:26" ht="53.25" thickBot="1">
      <c r="A76" s="118">
        <f t="shared" si="0"/>
        <v>60</v>
      </c>
      <c r="B76" s="59" t="s">
        <v>50</v>
      </c>
      <c r="C76" s="7">
        <v>5020000</v>
      </c>
      <c r="D76" s="7" t="s">
        <v>408</v>
      </c>
      <c r="E76" s="43" t="s">
        <v>51</v>
      </c>
      <c r="F76" s="125">
        <v>876</v>
      </c>
      <c r="G76" s="128" t="s">
        <v>62</v>
      </c>
      <c r="H76" s="128">
        <v>1</v>
      </c>
      <c r="I76" s="117">
        <v>42206501000</v>
      </c>
      <c r="J76" s="23" t="s">
        <v>30</v>
      </c>
      <c r="K76" s="62">
        <v>15000</v>
      </c>
      <c r="L76" s="40" t="s">
        <v>12</v>
      </c>
      <c r="M76" s="39" t="s">
        <v>12</v>
      </c>
      <c r="N76" s="20" t="s">
        <v>379</v>
      </c>
      <c r="O76" s="29"/>
      <c r="P76" s="10"/>
      <c r="Q76" s="10"/>
      <c r="R76" s="10"/>
      <c r="S76" s="10"/>
      <c r="T76" s="10"/>
      <c r="U76" s="10"/>
      <c r="V76" s="10"/>
      <c r="W76" s="10"/>
      <c r="X76" s="10"/>
      <c r="Y76" s="10"/>
      <c r="Z76" s="13"/>
    </row>
    <row r="77" spans="1:26" ht="53.25" thickBot="1">
      <c r="A77" s="118">
        <f t="shared" si="0"/>
        <v>61</v>
      </c>
      <c r="B77" s="59" t="s">
        <v>50</v>
      </c>
      <c r="C77" s="7">
        <v>5020000</v>
      </c>
      <c r="D77" s="7" t="s">
        <v>409</v>
      </c>
      <c r="E77" s="43" t="s">
        <v>51</v>
      </c>
      <c r="F77" s="125">
        <v>876</v>
      </c>
      <c r="G77" s="128" t="s">
        <v>62</v>
      </c>
      <c r="H77" s="128">
        <v>1</v>
      </c>
      <c r="I77" s="117">
        <v>42206501000</v>
      </c>
      <c r="J77" s="23" t="s">
        <v>30</v>
      </c>
      <c r="K77" s="62">
        <v>15000</v>
      </c>
      <c r="L77" s="40" t="s">
        <v>12</v>
      </c>
      <c r="M77" s="39" t="s">
        <v>12</v>
      </c>
      <c r="N77" s="20" t="s">
        <v>379</v>
      </c>
      <c r="O77" s="29"/>
      <c r="P77" s="10"/>
      <c r="Q77" s="10"/>
      <c r="R77" s="10"/>
      <c r="S77" s="10"/>
      <c r="T77" s="10"/>
      <c r="U77" s="10"/>
      <c r="V77" s="10"/>
      <c r="W77" s="10"/>
      <c r="X77" s="10"/>
      <c r="Y77" s="10"/>
      <c r="Z77" s="13"/>
    </row>
    <row r="78" spans="1:26" ht="53.25" thickBot="1">
      <c r="A78" s="118">
        <f t="shared" si="0"/>
        <v>62</v>
      </c>
      <c r="B78" s="59" t="s">
        <v>50</v>
      </c>
      <c r="C78" s="7">
        <v>5020000</v>
      </c>
      <c r="D78" s="7" t="s">
        <v>410</v>
      </c>
      <c r="E78" s="43" t="s">
        <v>51</v>
      </c>
      <c r="F78" s="125">
        <v>876</v>
      </c>
      <c r="G78" s="128" t="s">
        <v>62</v>
      </c>
      <c r="H78" s="128">
        <v>1</v>
      </c>
      <c r="I78" s="117">
        <v>42206501000</v>
      </c>
      <c r="J78" s="23" t="s">
        <v>30</v>
      </c>
      <c r="K78" s="62">
        <v>15000</v>
      </c>
      <c r="L78" s="40" t="s">
        <v>12</v>
      </c>
      <c r="M78" s="39" t="s">
        <v>12</v>
      </c>
      <c r="N78" s="20" t="s">
        <v>379</v>
      </c>
      <c r="O78" s="29"/>
      <c r="P78" s="10"/>
      <c r="Q78" s="10"/>
      <c r="R78" s="10"/>
      <c r="S78" s="10"/>
      <c r="T78" s="10"/>
      <c r="U78" s="10"/>
      <c r="V78" s="10"/>
      <c r="W78" s="10"/>
      <c r="X78" s="10"/>
      <c r="Y78" s="10"/>
      <c r="Z78" s="13"/>
    </row>
    <row r="79" spans="1:26" ht="53.25" thickBot="1">
      <c r="A79" s="118">
        <f t="shared" si="0"/>
        <v>63</v>
      </c>
      <c r="B79" s="59" t="s">
        <v>50</v>
      </c>
      <c r="C79" s="7">
        <v>5020000</v>
      </c>
      <c r="D79" s="7" t="s">
        <v>411</v>
      </c>
      <c r="E79" s="43" t="s">
        <v>51</v>
      </c>
      <c r="F79" s="125">
        <v>876</v>
      </c>
      <c r="G79" s="128" t="s">
        <v>62</v>
      </c>
      <c r="H79" s="128">
        <v>1</v>
      </c>
      <c r="I79" s="117">
        <v>42206501000</v>
      </c>
      <c r="J79" s="23" t="s">
        <v>30</v>
      </c>
      <c r="K79" s="62">
        <v>15000</v>
      </c>
      <c r="L79" s="40" t="s">
        <v>12</v>
      </c>
      <c r="M79" s="39" t="s">
        <v>12</v>
      </c>
      <c r="N79" s="20" t="s">
        <v>379</v>
      </c>
      <c r="O79" s="29"/>
      <c r="P79" s="10"/>
      <c r="Q79" s="10"/>
      <c r="R79" s="10"/>
      <c r="S79" s="10"/>
      <c r="T79" s="10"/>
      <c r="U79" s="10"/>
      <c r="V79" s="10"/>
      <c r="W79" s="10"/>
      <c r="X79" s="10"/>
      <c r="Y79" s="10"/>
      <c r="Z79" s="13"/>
    </row>
    <row r="80" spans="1:26" ht="53.25" thickBot="1">
      <c r="A80" s="118">
        <f t="shared" si="0"/>
        <v>64</v>
      </c>
      <c r="B80" s="59" t="s">
        <v>50</v>
      </c>
      <c r="C80" s="7">
        <v>5020000</v>
      </c>
      <c r="D80" s="7" t="s">
        <v>412</v>
      </c>
      <c r="E80" s="43" t="s">
        <v>51</v>
      </c>
      <c r="F80" s="125">
        <v>876</v>
      </c>
      <c r="G80" s="128" t="s">
        <v>62</v>
      </c>
      <c r="H80" s="128">
        <v>1</v>
      </c>
      <c r="I80" s="117">
        <v>42206501000</v>
      </c>
      <c r="J80" s="23" t="s">
        <v>30</v>
      </c>
      <c r="K80" s="62">
        <v>15000</v>
      </c>
      <c r="L80" s="40" t="s">
        <v>12</v>
      </c>
      <c r="M80" s="39" t="s">
        <v>12</v>
      </c>
      <c r="N80" s="20" t="s">
        <v>379</v>
      </c>
      <c r="O80" s="29"/>
      <c r="P80" s="10"/>
      <c r="Q80" s="10"/>
      <c r="R80" s="10"/>
      <c r="S80" s="10"/>
      <c r="T80" s="10"/>
      <c r="U80" s="10"/>
      <c r="V80" s="10"/>
      <c r="W80" s="10"/>
      <c r="X80" s="10"/>
      <c r="Y80" s="10"/>
      <c r="Z80" s="13"/>
    </row>
    <row r="81" spans="1:26" ht="53.25" thickBot="1">
      <c r="A81" s="118">
        <f t="shared" si="0"/>
        <v>65</v>
      </c>
      <c r="B81" s="59" t="s">
        <v>50</v>
      </c>
      <c r="C81" s="7">
        <v>5020000</v>
      </c>
      <c r="D81" s="7" t="s">
        <v>413</v>
      </c>
      <c r="E81" s="43" t="s">
        <v>51</v>
      </c>
      <c r="F81" s="125">
        <v>876</v>
      </c>
      <c r="G81" s="128" t="s">
        <v>62</v>
      </c>
      <c r="H81" s="128">
        <v>1</v>
      </c>
      <c r="I81" s="117">
        <v>42206501000</v>
      </c>
      <c r="J81" s="23" t="s">
        <v>30</v>
      </c>
      <c r="K81" s="62">
        <v>15000</v>
      </c>
      <c r="L81" s="40" t="s">
        <v>12</v>
      </c>
      <c r="M81" s="39" t="s">
        <v>12</v>
      </c>
      <c r="N81" s="20" t="s">
        <v>379</v>
      </c>
      <c r="O81" s="29"/>
      <c r="P81" s="10"/>
      <c r="Q81" s="10"/>
      <c r="R81" s="10"/>
      <c r="S81" s="10"/>
      <c r="T81" s="10"/>
      <c r="U81" s="10"/>
      <c r="V81" s="10"/>
      <c r="W81" s="10"/>
      <c r="X81" s="10"/>
      <c r="Y81" s="10"/>
      <c r="Z81" s="13"/>
    </row>
    <row r="82" spans="1:26" ht="53.25" thickBot="1">
      <c r="A82" s="118">
        <f t="shared" si="0"/>
        <v>66</v>
      </c>
      <c r="B82" s="59" t="s">
        <v>50</v>
      </c>
      <c r="C82" s="7">
        <v>5020000</v>
      </c>
      <c r="D82" s="7" t="s">
        <v>414</v>
      </c>
      <c r="E82" s="43" t="s">
        <v>51</v>
      </c>
      <c r="F82" s="125">
        <v>876</v>
      </c>
      <c r="G82" s="128" t="s">
        <v>62</v>
      </c>
      <c r="H82" s="128">
        <v>1</v>
      </c>
      <c r="I82" s="117">
        <v>42206501000</v>
      </c>
      <c r="J82" s="23" t="s">
        <v>30</v>
      </c>
      <c r="K82" s="62">
        <v>15000</v>
      </c>
      <c r="L82" s="40" t="s">
        <v>12</v>
      </c>
      <c r="M82" s="39" t="s">
        <v>12</v>
      </c>
      <c r="N82" s="20" t="s">
        <v>379</v>
      </c>
      <c r="O82" s="29"/>
      <c r="P82" s="10"/>
      <c r="Q82" s="10"/>
      <c r="R82" s="10"/>
      <c r="S82" s="10"/>
      <c r="T82" s="10"/>
      <c r="U82" s="10"/>
      <c r="V82" s="10"/>
      <c r="W82" s="10"/>
      <c r="X82" s="10"/>
      <c r="Y82" s="10"/>
      <c r="Z82" s="13"/>
    </row>
    <row r="83" spans="1:26" ht="53.25" thickBot="1">
      <c r="A83" s="118">
        <f t="shared" ref="A83:A146" si="1">A82+1</f>
        <v>67</v>
      </c>
      <c r="B83" s="100" t="s">
        <v>109</v>
      </c>
      <c r="C83" s="54">
        <v>2320030</v>
      </c>
      <c r="D83" s="54" t="s">
        <v>110</v>
      </c>
      <c r="E83" s="56" t="s">
        <v>111</v>
      </c>
      <c r="F83" s="132" t="s">
        <v>442</v>
      </c>
      <c r="G83" s="137" t="s">
        <v>443</v>
      </c>
      <c r="H83" s="149">
        <f>2627.5/7*12</f>
        <v>4504.2857142857138</v>
      </c>
      <c r="I83" s="117">
        <v>42206501000</v>
      </c>
      <c r="J83" s="64" t="s">
        <v>30</v>
      </c>
      <c r="K83" s="62">
        <f>131753.03*1.18/7*12*1.06</f>
        <v>282508.61129828572</v>
      </c>
      <c r="L83" s="40" t="s">
        <v>12</v>
      </c>
      <c r="M83" s="39" t="s">
        <v>12</v>
      </c>
      <c r="N83" s="20" t="s">
        <v>379</v>
      </c>
      <c r="O83" s="29"/>
      <c r="P83" s="10"/>
      <c r="Q83" s="10"/>
      <c r="R83" s="10"/>
      <c r="S83" s="10"/>
      <c r="T83" s="10"/>
      <c r="U83" s="10"/>
      <c r="V83" s="10"/>
      <c r="W83" s="10"/>
      <c r="X83" s="10"/>
      <c r="Y83" s="10"/>
      <c r="Z83" s="13"/>
    </row>
    <row r="84" spans="1:26" ht="53.25" thickBot="1">
      <c r="A84" s="118">
        <f t="shared" si="1"/>
        <v>68</v>
      </c>
      <c r="B84" s="101" t="s">
        <v>112</v>
      </c>
      <c r="C84" s="60">
        <v>2510000</v>
      </c>
      <c r="D84" s="54" t="s">
        <v>113</v>
      </c>
      <c r="E84" s="60" t="s">
        <v>114</v>
      </c>
      <c r="F84" s="137">
        <v>796</v>
      </c>
      <c r="G84" s="137" t="s">
        <v>115</v>
      </c>
      <c r="H84" s="150">
        <v>12</v>
      </c>
      <c r="I84" s="117">
        <v>42206501000</v>
      </c>
      <c r="J84" s="64" t="s">
        <v>30</v>
      </c>
      <c r="K84" s="62">
        <v>120000</v>
      </c>
      <c r="L84" s="40" t="s">
        <v>12</v>
      </c>
      <c r="M84" s="39" t="s">
        <v>12</v>
      </c>
      <c r="N84" s="20" t="s">
        <v>379</v>
      </c>
      <c r="O84" s="29"/>
      <c r="P84" s="10"/>
      <c r="Q84" s="10"/>
      <c r="R84" s="10"/>
      <c r="S84" s="10"/>
      <c r="T84" s="10"/>
      <c r="U84" s="10"/>
      <c r="V84" s="10"/>
      <c r="W84" s="10"/>
      <c r="X84" s="10"/>
      <c r="Y84" s="10"/>
      <c r="Z84" s="13"/>
    </row>
    <row r="85" spans="1:26" ht="53.25" thickBot="1">
      <c r="A85" s="118">
        <f t="shared" si="1"/>
        <v>69</v>
      </c>
      <c r="B85" s="101" t="s">
        <v>112</v>
      </c>
      <c r="C85" s="60">
        <v>2510000</v>
      </c>
      <c r="D85" s="54" t="s">
        <v>116</v>
      </c>
      <c r="E85" s="60" t="s">
        <v>114</v>
      </c>
      <c r="F85" s="137">
        <v>796</v>
      </c>
      <c r="G85" s="137" t="s">
        <v>115</v>
      </c>
      <c r="H85" s="150">
        <v>20</v>
      </c>
      <c r="I85" s="117">
        <v>42206501000</v>
      </c>
      <c r="J85" s="64" t="s">
        <v>30</v>
      </c>
      <c r="K85" s="62">
        <v>200000</v>
      </c>
      <c r="L85" s="40" t="s">
        <v>12</v>
      </c>
      <c r="M85" s="39" t="s">
        <v>12</v>
      </c>
      <c r="N85" s="20" t="s">
        <v>379</v>
      </c>
      <c r="O85" s="29"/>
      <c r="P85" s="10"/>
      <c r="Q85" s="10"/>
      <c r="R85" s="10"/>
      <c r="S85" s="10"/>
      <c r="T85" s="10"/>
      <c r="U85" s="10"/>
      <c r="V85" s="10"/>
      <c r="W85" s="10"/>
      <c r="X85" s="10"/>
      <c r="Y85" s="10"/>
      <c r="Z85" s="13"/>
    </row>
    <row r="86" spans="1:26" ht="52.5">
      <c r="A86" s="118">
        <f t="shared" si="1"/>
        <v>70</v>
      </c>
      <c r="B86" s="101" t="s">
        <v>117</v>
      </c>
      <c r="C86" s="60">
        <v>3140000</v>
      </c>
      <c r="D86" s="54" t="s">
        <v>118</v>
      </c>
      <c r="E86" s="56" t="s">
        <v>114</v>
      </c>
      <c r="F86" s="137">
        <v>796</v>
      </c>
      <c r="G86" s="137" t="s">
        <v>115</v>
      </c>
      <c r="H86" s="150">
        <v>32</v>
      </c>
      <c r="I86" s="117">
        <v>42206501000</v>
      </c>
      <c r="J86" s="23" t="s">
        <v>30</v>
      </c>
      <c r="K86" s="62">
        <v>195000</v>
      </c>
      <c r="L86" s="40" t="s">
        <v>12</v>
      </c>
      <c r="M86" s="39" t="s">
        <v>12</v>
      </c>
      <c r="N86" s="20" t="s">
        <v>379</v>
      </c>
      <c r="O86" s="29"/>
      <c r="P86" s="10"/>
      <c r="Q86" s="10"/>
      <c r="R86" s="10"/>
      <c r="S86" s="10"/>
      <c r="T86" s="10"/>
      <c r="U86" s="10"/>
      <c r="V86" s="10"/>
      <c r="W86" s="10"/>
      <c r="X86" s="10"/>
      <c r="Y86" s="10"/>
      <c r="Z86" s="13"/>
    </row>
    <row r="87" spans="1:26" ht="53.25" thickBot="1">
      <c r="A87" s="118">
        <f t="shared" si="1"/>
        <v>71</v>
      </c>
      <c r="B87" s="97" t="s">
        <v>119</v>
      </c>
      <c r="C87" s="8">
        <v>3430010</v>
      </c>
      <c r="D87" s="61" t="s">
        <v>120</v>
      </c>
      <c r="E87" s="61" t="s">
        <v>121</v>
      </c>
      <c r="F87" s="138">
        <v>876</v>
      </c>
      <c r="G87" s="125" t="s">
        <v>62</v>
      </c>
      <c r="H87" s="125">
        <v>1</v>
      </c>
      <c r="I87" s="117">
        <v>42206501000</v>
      </c>
      <c r="J87" s="23" t="s">
        <v>30</v>
      </c>
      <c r="K87" s="62">
        <v>2300000</v>
      </c>
      <c r="L87" s="80" t="s">
        <v>54</v>
      </c>
      <c r="M87" s="80" t="s">
        <v>53</v>
      </c>
      <c r="N87" s="112" t="s">
        <v>415</v>
      </c>
      <c r="O87" s="29" t="s">
        <v>437</v>
      </c>
      <c r="P87" s="10"/>
      <c r="Q87" s="10"/>
      <c r="R87" s="10"/>
      <c r="S87" s="10"/>
      <c r="T87" s="10"/>
      <c r="U87" s="10"/>
      <c r="V87" s="10"/>
      <c r="W87" s="10"/>
      <c r="X87" s="10"/>
      <c r="Y87" s="10"/>
      <c r="Z87" s="13"/>
    </row>
    <row r="88" spans="1:26" ht="77.25" thickBot="1">
      <c r="A88" s="118">
        <f t="shared" si="1"/>
        <v>72</v>
      </c>
      <c r="B88" s="59" t="s">
        <v>122</v>
      </c>
      <c r="C88" s="7">
        <v>6613070</v>
      </c>
      <c r="D88" s="7" t="s">
        <v>123</v>
      </c>
      <c r="E88" s="43" t="s">
        <v>124</v>
      </c>
      <c r="F88" s="138">
        <v>877</v>
      </c>
      <c r="G88" s="125" t="s">
        <v>62</v>
      </c>
      <c r="H88" s="125">
        <v>2</v>
      </c>
      <c r="I88" s="117">
        <v>42206501000</v>
      </c>
      <c r="J88" s="23" t="s">
        <v>30</v>
      </c>
      <c r="K88" s="62">
        <v>12500</v>
      </c>
      <c r="L88" s="40" t="s">
        <v>12</v>
      </c>
      <c r="M88" s="39" t="s">
        <v>12</v>
      </c>
      <c r="N88" s="20" t="s">
        <v>379</v>
      </c>
      <c r="O88" s="29"/>
      <c r="P88" s="10"/>
      <c r="Q88" s="10"/>
      <c r="R88" s="10"/>
      <c r="S88" s="10"/>
      <c r="T88" s="10"/>
      <c r="U88" s="10"/>
      <c r="V88" s="10"/>
      <c r="W88" s="10"/>
      <c r="X88" s="10"/>
      <c r="Y88" s="10"/>
      <c r="Z88" s="13"/>
    </row>
    <row r="89" spans="1:26" ht="53.25" thickBot="1">
      <c r="A89" s="118">
        <f t="shared" si="1"/>
        <v>73</v>
      </c>
      <c r="B89" s="59" t="s">
        <v>125</v>
      </c>
      <c r="C89" s="7">
        <v>6613070</v>
      </c>
      <c r="D89" s="7" t="s">
        <v>126</v>
      </c>
      <c r="E89" s="43" t="s">
        <v>127</v>
      </c>
      <c r="F89" s="138">
        <v>878</v>
      </c>
      <c r="G89" s="125" t="s">
        <v>62</v>
      </c>
      <c r="H89" s="125">
        <v>3</v>
      </c>
      <c r="I89" s="117">
        <v>42206501000</v>
      </c>
      <c r="J89" s="23" t="s">
        <v>128</v>
      </c>
      <c r="K89" s="62">
        <v>36900</v>
      </c>
      <c r="L89" s="40" t="s">
        <v>12</v>
      </c>
      <c r="M89" s="39" t="s">
        <v>12</v>
      </c>
      <c r="N89" s="20" t="s">
        <v>379</v>
      </c>
      <c r="O89" s="29"/>
      <c r="P89" s="10"/>
      <c r="Q89" s="10"/>
      <c r="R89" s="10"/>
      <c r="S89" s="10"/>
      <c r="T89" s="10"/>
      <c r="U89" s="10"/>
      <c r="V89" s="10"/>
      <c r="W89" s="10"/>
      <c r="X89" s="10"/>
      <c r="Y89" s="10"/>
      <c r="Z89" s="13"/>
    </row>
    <row r="90" spans="1:26" ht="53.25" thickBot="1">
      <c r="A90" s="118">
        <f t="shared" si="1"/>
        <v>74</v>
      </c>
      <c r="B90" s="59" t="s">
        <v>125</v>
      </c>
      <c r="C90" s="7">
        <v>6613070</v>
      </c>
      <c r="D90" s="7" t="s">
        <v>126</v>
      </c>
      <c r="E90" s="43" t="s">
        <v>127</v>
      </c>
      <c r="F90" s="138">
        <v>879</v>
      </c>
      <c r="G90" s="125" t="s">
        <v>62</v>
      </c>
      <c r="H90" s="125">
        <v>4</v>
      </c>
      <c r="I90" s="117">
        <v>42206501000</v>
      </c>
      <c r="J90" s="23" t="s">
        <v>129</v>
      </c>
      <c r="K90" s="62">
        <v>13000</v>
      </c>
      <c r="L90" s="40" t="s">
        <v>12</v>
      </c>
      <c r="M90" s="39" t="s">
        <v>12</v>
      </c>
      <c r="N90" s="20" t="s">
        <v>379</v>
      </c>
      <c r="O90" s="29"/>
      <c r="P90" s="10"/>
      <c r="Q90" s="10"/>
      <c r="R90" s="10"/>
      <c r="S90" s="10"/>
      <c r="T90" s="10"/>
      <c r="U90" s="10"/>
      <c r="V90" s="10"/>
      <c r="W90" s="10"/>
      <c r="X90" s="10"/>
      <c r="Y90" s="10"/>
      <c r="Z90" s="13"/>
    </row>
    <row r="91" spans="1:26" ht="53.25" thickBot="1">
      <c r="A91" s="118">
        <f t="shared" si="1"/>
        <v>75</v>
      </c>
      <c r="B91" s="59" t="s">
        <v>125</v>
      </c>
      <c r="C91" s="7">
        <v>6613070</v>
      </c>
      <c r="D91" s="7" t="s">
        <v>126</v>
      </c>
      <c r="E91" s="43" t="s">
        <v>127</v>
      </c>
      <c r="F91" s="138">
        <v>880</v>
      </c>
      <c r="G91" s="125" t="s">
        <v>62</v>
      </c>
      <c r="H91" s="125">
        <v>5</v>
      </c>
      <c r="I91" s="117">
        <v>42206501000</v>
      </c>
      <c r="J91" s="23" t="s">
        <v>130</v>
      </c>
      <c r="K91" s="62">
        <v>16200</v>
      </c>
      <c r="L91" s="40" t="s">
        <v>12</v>
      </c>
      <c r="M91" s="39" t="s">
        <v>12</v>
      </c>
      <c r="N91" s="20" t="s">
        <v>379</v>
      </c>
      <c r="O91" s="29"/>
      <c r="P91" s="10"/>
      <c r="Q91" s="10"/>
      <c r="R91" s="10"/>
      <c r="S91" s="10"/>
      <c r="T91" s="10"/>
      <c r="U91" s="10"/>
      <c r="V91" s="10"/>
      <c r="W91" s="10"/>
      <c r="X91" s="10"/>
      <c r="Y91" s="10"/>
      <c r="Z91" s="13"/>
    </row>
    <row r="92" spans="1:26" ht="60.75" thickBot="1">
      <c r="A92" s="118">
        <f t="shared" si="1"/>
        <v>76</v>
      </c>
      <c r="B92" s="59" t="s">
        <v>125</v>
      </c>
      <c r="C92" s="7">
        <v>6613070</v>
      </c>
      <c r="D92" s="7" t="s">
        <v>126</v>
      </c>
      <c r="E92" s="43" t="s">
        <v>127</v>
      </c>
      <c r="F92" s="138">
        <v>881</v>
      </c>
      <c r="G92" s="125" t="s">
        <v>62</v>
      </c>
      <c r="H92" s="125">
        <v>6</v>
      </c>
      <c r="I92" s="117">
        <v>42206501000</v>
      </c>
      <c r="J92" s="23" t="s">
        <v>131</v>
      </c>
      <c r="K92" s="62">
        <v>10800</v>
      </c>
      <c r="L92" s="40" t="s">
        <v>12</v>
      </c>
      <c r="M92" s="39" t="s">
        <v>12</v>
      </c>
      <c r="N92" s="20" t="s">
        <v>379</v>
      </c>
      <c r="O92" s="29"/>
      <c r="P92" s="10"/>
      <c r="Q92" s="10"/>
      <c r="R92" s="10"/>
      <c r="S92" s="10"/>
      <c r="T92" s="10"/>
      <c r="U92" s="10"/>
      <c r="V92" s="10"/>
      <c r="W92" s="10"/>
      <c r="X92" s="10"/>
      <c r="Y92" s="10"/>
      <c r="Z92" s="13"/>
    </row>
    <row r="93" spans="1:26" ht="53.25" thickBot="1">
      <c r="A93" s="118">
        <f t="shared" si="1"/>
        <v>77</v>
      </c>
      <c r="B93" s="59" t="s">
        <v>125</v>
      </c>
      <c r="C93" s="7">
        <v>6613070</v>
      </c>
      <c r="D93" s="7" t="s">
        <v>126</v>
      </c>
      <c r="E93" s="43" t="s">
        <v>127</v>
      </c>
      <c r="F93" s="138">
        <v>882</v>
      </c>
      <c r="G93" s="125" t="s">
        <v>62</v>
      </c>
      <c r="H93" s="125">
        <v>7</v>
      </c>
      <c r="I93" s="117">
        <v>42206501000</v>
      </c>
      <c r="J93" s="23" t="s">
        <v>144</v>
      </c>
      <c r="K93" s="62">
        <v>18000</v>
      </c>
      <c r="L93" s="40" t="s">
        <v>12</v>
      </c>
      <c r="M93" s="39" t="s">
        <v>12</v>
      </c>
      <c r="N93" s="20" t="s">
        <v>379</v>
      </c>
      <c r="O93" s="29"/>
      <c r="P93" s="10"/>
      <c r="Q93" s="10"/>
      <c r="R93" s="10"/>
      <c r="S93" s="10"/>
      <c r="T93" s="10"/>
      <c r="U93" s="10"/>
      <c r="V93" s="10"/>
      <c r="W93" s="10"/>
      <c r="X93" s="10"/>
      <c r="Y93" s="10"/>
      <c r="Z93" s="13"/>
    </row>
    <row r="94" spans="1:26" ht="53.25" thickBot="1">
      <c r="A94" s="118">
        <f t="shared" si="1"/>
        <v>78</v>
      </c>
      <c r="B94" s="59" t="s">
        <v>142</v>
      </c>
      <c r="C94" s="7">
        <v>9010030</v>
      </c>
      <c r="D94" s="7" t="s">
        <v>143</v>
      </c>
      <c r="E94" s="18" t="s">
        <v>74</v>
      </c>
      <c r="F94" s="138">
        <v>883</v>
      </c>
      <c r="G94" s="125" t="s">
        <v>62</v>
      </c>
      <c r="H94" s="125">
        <v>8</v>
      </c>
      <c r="I94" s="117">
        <v>42206501000</v>
      </c>
      <c r="J94" s="23" t="s">
        <v>145</v>
      </c>
      <c r="K94" s="62">
        <v>80000</v>
      </c>
      <c r="L94" s="40" t="s">
        <v>12</v>
      </c>
      <c r="M94" s="39" t="s">
        <v>12</v>
      </c>
      <c r="N94" s="20" t="s">
        <v>379</v>
      </c>
      <c r="O94" s="29"/>
      <c r="P94" s="10"/>
      <c r="Q94" s="10"/>
      <c r="R94" s="10"/>
      <c r="S94" s="10"/>
      <c r="T94" s="10"/>
      <c r="U94" s="10"/>
      <c r="V94" s="10"/>
      <c r="W94" s="10"/>
      <c r="X94" s="10"/>
      <c r="Y94" s="10"/>
      <c r="Z94" s="13"/>
    </row>
    <row r="95" spans="1:26" ht="53.25" thickBot="1">
      <c r="A95" s="118">
        <f t="shared" si="1"/>
        <v>79</v>
      </c>
      <c r="B95" s="59" t="s">
        <v>148</v>
      </c>
      <c r="C95" s="7">
        <v>7424020</v>
      </c>
      <c r="D95" s="7" t="s">
        <v>146</v>
      </c>
      <c r="E95" s="43" t="s">
        <v>147</v>
      </c>
      <c r="F95" s="138">
        <v>884</v>
      </c>
      <c r="G95" s="125" t="s">
        <v>62</v>
      </c>
      <c r="H95" s="125">
        <v>9</v>
      </c>
      <c r="I95" s="117">
        <v>42206501000</v>
      </c>
      <c r="J95" s="23" t="s">
        <v>30</v>
      </c>
      <c r="K95" s="62">
        <v>58000</v>
      </c>
      <c r="L95" s="40" t="s">
        <v>12</v>
      </c>
      <c r="M95" s="39" t="s">
        <v>12</v>
      </c>
      <c r="N95" s="20" t="s">
        <v>379</v>
      </c>
      <c r="O95" s="29"/>
      <c r="P95" s="10"/>
      <c r="Q95" s="10"/>
      <c r="R95" s="10"/>
      <c r="S95" s="10"/>
      <c r="T95" s="10"/>
      <c r="U95" s="10"/>
      <c r="V95" s="10"/>
      <c r="W95" s="10"/>
      <c r="X95" s="10"/>
      <c r="Y95" s="10"/>
      <c r="Z95" s="13"/>
    </row>
    <row r="96" spans="1:26" ht="53.25" thickBot="1">
      <c r="A96" s="118">
        <f t="shared" si="1"/>
        <v>80</v>
      </c>
      <c r="B96" s="59" t="s">
        <v>150</v>
      </c>
      <c r="C96" s="7">
        <v>7425010</v>
      </c>
      <c r="D96" s="7" t="s">
        <v>149</v>
      </c>
      <c r="E96" s="43" t="s">
        <v>151</v>
      </c>
      <c r="F96" s="138">
        <v>885</v>
      </c>
      <c r="G96" s="125" t="s">
        <v>62</v>
      </c>
      <c r="H96" s="125">
        <v>10</v>
      </c>
      <c r="I96" s="117">
        <v>42206501000</v>
      </c>
      <c r="J96" s="23" t="s">
        <v>30</v>
      </c>
      <c r="K96" s="62">
        <v>12700</v>
      </c>
      <c r="L96" s="40" t="s">
        <v>12</v>
      </c>
      <c r="M96" s="39" t="s">
        <v>12</v>
      </c>
      <c r="N96" s="20" t="s">
        <v>379</v>
      </c>
      <c r="O96" s="29"/>
      <c r="P96" s="10"/>
      <c r="Q96" s="10"/>
      <c r="R96" s="10"/>
      <c r="S96" s="10"/>
      <c r="T96" s="10"/>
      <c r="U96" s="10"/>
      <c r="V96" s="10"/>
      <c r="W96" s="10"/>
      <c r="X96" s="10"/>
      <c r="Y96" s="10"/>
      <c r="Z96" s="13"/>
    </row>
    <row r="97" spans="1:26" ht="53.25" thickBot="1">
      <c r="A97" s="118">
        <f t="shared" si="1"/>
        <v>81</v>
      </c>
      <c r="B97" s="59" t="s">
        <v>153</v>
      </c>
      <c r="C97" s="7">
        <v>7423010</v>
      </c>
      <c r="D97" s="7" t="s">
        <v>152</v>
      </c>
      <c r="E97" s="43" t="s">
        <v>151</v>
      </c>
      <c r="F97" s="138">
        <v>886</v>
      </c>
      <c r="G97" s="125" t="s">
        <v>62</v>
      </c>
      <c r="H97" s="125">
        <v>11</v>
      </c>
      <c r="I97" s="117">
        <v>42206501000</v>
      </c>
      <c r="J97" s="23" t="s">
        <v>30</v>
      </c>
      <c r="K97" s="62">
        <v>250000</v>
      </c>
      <c r="L97" s="40" t="s">
        <v>12</v>
      </c>
      <c r="M97" s="39" t="s">
        <v>12</v>
      </c>
      <c r="N97" s="20" t="s">
        <v>379</v>
      </c>
      <c r="O97" s="29"/>
      <c r="P97" s="10"/>
      <c r="Q97" s="10"/>
      <c r="R97" s="10"/>
      <c r="S97" s="10"/>
      <c r="T97" s="10"/>
      <c r="U97" s="10"/>
      <c r="V97" s="10"/>
      <c r="W97" s="10"/>
      <c r="X97" s="10"/>
      <c r="Y97" s="10"/>
      <c r="Z97" s="13"/>
    </row>
    <row r="98" spans="1:26" ht="53.25" thickBot="1">
      <c r="A98" s="118">
        <f t="shared" si="1"/>
        <v>82</v>
      </c>
      <c r="B98" s="59" t="s">
        <v>155</v>
      </c>
      <c r="C98" s="7">
        <v>2429680</v>
      </c>
      <c r="D98" s="58" t="s">
        <v>103</v>
      </c>
      <c r="E98" s="43" t="s">
        <v>154</v>
      </c>
      <c r="F98" s="138">
        <v>887</v>
      </c>
      <c r="G98" s="125" t="s">
        <v>62</v>
      </c>
      <c r="H98" s="125">
        <v>12</v>
      </c>
      <c r="I98" s="117">
        <v>42206501000</v>
      </c>
      <c r="J98" s="23" t="s">
        <v>30</v>
      </c>
      <c r="K98" s="62">
        <v>58000</v>
      </c>
      <c r="L98" s="40" t="s">
        <v>12</v>
      </c>
      <c r="M98" s="39" t="s">
        <v>12</v>
      </c>
      <c r="N98" s="20" t="s">
        <v>379</v>
      </c>
      <c r="O98" s="29"/>
      <c r="P98" s="10"/>
      <c r="Q98" s="10"/>
      <c r="R98" s="10"/>
      <c r="S98" s="10"/>
      <c r="T98" s="10"/>
      <c r="U98" s="10"/>
      <c r="V98" s="10"/>
      <c r="W98" s="10"/>
      <c r="X98" s="10"/>
      <c r="Y98" s="10"/>
      <c r="Z98" s="13"/>
    </row>
    <row r="99" spans="1:26" ht="108.75" thickBot="1">
      <c r="A99" s="118">
        <f t="shared" si="1"/>
        <v>83</v>
      </c>
      <c r="B99" s="34" t="s">
        <v>55</v>
      </c>
      <c r="C99" s="7">
        <v>3010050</v>
      </c>
      <c r="D99" s="44" t="s">
        <v>61</v>
      </c>
      <c r="E99" s="44" t="s">
        <v>56</v>
      </c>
      <c r="F99" s="138">
        <v>888</v>
      </c>
      <c r="G99" s="125" t="s">
        <v>62</v>
      </c>
      <c r="H99" s="125">
        <v>13</v>
      </c>
      <c r="I99" s="117">
        <v>42206501000</v>
      </c>
      <c r="J99" s="64" t="s">
        <v>30</v>
      </c>
      <c r="K99" s="62">
        <v>9000</v>
      </c>
      <c r="L99" s="40" t="s">
        <v>12</v>
      </c>
      <c r="M99" s="39" t="s">
        <v>12</v>
      </c>
      <c r="N99" s="20" t="s">
        <v>379</v>
      </c>
      <c r="O99" s="29"/>
      <c r="P99" s="10"/>
      <c r="Q99" s="10"/>
      <c r="R99" s="10"/>
      <c r="S99" s="10"/>
      <c r="T99" s="10"/>
      <c r="U99" s="10"/>
      <c r="V99" s="10"/>
      <c r="W99" s="10"/>
      <c r="X99" s="10"/>
      <c r="Y99" s="10"/>
      <c r="Z99" s="13"/>
    </row>
    <row r="100" spans="1:26" ht="108.75" thickBot="1">
      <c r="A100" s="118">
        <f t="shared" si="1"/>
        <v>84</v>
      </c>
      <c r="B100" s="34" t="s">
        <v>55</v>
      </c>
      <c r="C100" s="7">
        <v>3010050</v>
      </c>
      <c r="D100" s="44" t="s">
        <v>57</v>
      </c>
      <c r="E100" s="44" t="s">
        <v>56</v>
      </c>
      <c r="F100" s="138">
        <v>889</v>
      </c>
      <c r="G100" s="125" t="s">
        <v>62</v>
      </c>
      <c r="H100" s="125">
        <v>14</v>
      </c>
      <c r="I100" s="117">
        <v>42206501000</v>
      </c>
      <c r="J100" s="64" t="s">
        <v>30</v>
      </c>
      <c r="K100" s="62">
        <v>9000</v>
      </c>
      <c r="L100" s="40" t="s">
        <v>12</v>
      </c>
      <c r="M100" s="39" t="s">
        <v>12</v>
      </c>
      <c r="N100" s="20" t="s">
        <v>379</v>
      </c>
      <c r="O100" s="29"/>
      <c r="P100" s="10"/>
      <c r="Q100" s="10"/>
      <c r="R100" s="10"/>
      <c r="S100" s="10"/>
      <c r="T100" s="10"/>
      <c r="U100" s="10"/>
      <c r="V100" s="10"/>
      <c r="W100" s="10"/>
      <c r="X100" s="10"/>
      <c r="Y100" s="10"/>
      <c r="Z100" s="13"/>
    </row>
    <row r="101" spans="1:26" ht="108.75" thickBot="1">
      <c r="A101" s="118">
        <f t="shared" si="1"/>
        <v>85</v>
      </c>
      <c r="B101" s="34" t="s">
        <v>55</v>
      </c>
      <c r="C101" s="7">
        <v>3010050</v>
      </c>
      <c r="D101" s="44" t="s">
        <v>58</v>
      </c>
      <c r="E101" s="44" t="s">
        <v>56</v>
      </c>
      <c r="F101" s="138">
        <v>890</v>
      </c>
      <c r="G101" s="125" t="s">
        <v>62</v>
      </c>
      <c r="H101" s="125">
        <v>15</v>
      </c>
      <c r="I101" s="117">
        <v>42206501000</v>
      </c>
      <c r="J101" s="64" t="s">
        <v>30</v>
      </c>
      <c r="K101" s="62">
        <v>9000</v>
      </c>
      <c r="L101" s="40" t="s">
        <v>12</v>
      </c>
      <c r="M101" s="39" t="s">
        <v>12</v>
      </c>
      <c r="N101" s="20" t="s">
        <v>379</v>
      </c>
      <c r="O101" s="29"/>
      <c r="P101" s="10"/>
      <c r="Q101" s="10"/>
      <c r="R101" s="10"/>
      <c r="S101" s="10"/>
      <c r="T101" s="10"/>
      <c r="U101" s="10"/>
      <c r="V101" s="10"/>
      <c r="W101" s="10"/>
      <c r="X101" s="10"/>
      <c r="Y101" s="10"/>
      <c r="Z101" s="13"/>
    </row>
    <row r="102" spans="1:26" ht="108.75" thickBot="1">
      <c r="A102" s="118">
        <f t="shared" si="1"/>
        <v>86</v>
      </c>
      <c r="B102" s="34" t="s">
        <v>55</v>
      </c>
      <c r="C102" s="7">
        <v>3010050</v>
      </c>
      <c r="D102" s="44" t="s">
        <v>59</v>
      </c>
      <c r="E102" s="44" t="s">
        <v>56</v>
      </c>
      <c r="F102" s="138">
        <v>891</v>
      </c>
      <c r="G102" s="125" t="s">
        <v>62</v>
      </c>
      <c r="H102" s="125">
        <v>16</v>
      </c>
      <c r="I102" s="117">
        <v>42206501000</v>
      </c>
      <c r="J102" s="64" t="s">
        <v>30</v>
      </c>
      <c r="K102" s="62">
        <v>9000</v>
      </c>
      <c r="L102" s="40" t="s">
        <v>12</v>
      </c>
      <c r="M102" s="39" t="s">
        <v>12</v>
      </c>
      <c r="N102" s="20" t="s">
        <v>379</v>
      </c>
      <c r="O102" s="29"/>
      <c r="P102" s="10"/>
      <c r="Q102" s="10"/>
      <c r="R102" s="10"/>
      <c r="S102" s="10"/>
      <c r="T102" s="10"/>
      <c r="U102" s="10"/>
      <c r="V102" s="10"/>
      <c r="W102" s="10"/>
      <c r="X102" s="10"/>
      <c r="Y102" s="10"/>
      <c r="Z102" s="13"/>
    </row>
    <row r="103" spans="1:26" ht="108.75" thickBot="1">
      <c r="A103" s="118">
        <f t="shared" si="1"/>
        <v>87</v>
      </c>
      <c r="B103" s="34" t="s">
        <v>55</v>
      </c>
      <c r="C103" s="7">
        <v>3010050</v>
      </c>
      <c r="D103" s="44" t="s">
        <v>60</v>
      </c>
      <c r="E103" s="44" t="s">
        <v>56</v>
      </c>
      <c r="F103" s="138">
        <v>892</v>
      </c>
      <c r="G103" s="125" t="s">
        <v>62</v>
      </c>
      <c r="H103" s="125">
        <v>17</v>
      </c>
      <c r="I103" s="117">
        <v>42206501000</v>
      </c>
      <c r="J103" s="64" t="s">
        <v>30</v>
      </c>
      <c r="K103" s="62">
        <v>9000</v>
      </c>
      <c r="L103" s="40" t="s">
        <v>12</v>
      </c>
      <c r="M103" s="39" t="s">
        <v>12</v>
      </c>
      <c r="N103" s="20" t="s">
        <v>379</v>
      </c>
      <c r="O103" s="29"/>
      <c r="P103" s="10"/>
      <c r="Q103" s="10"/>
      <c r="R103" s="10"/>
      <c r="S103" s="10"/>
      <c r="T103" s="10"/>
      <c r="U103" s="10"/>
      <c r="V103" s="10"/>
      <c r="W103" s="10"/>
      <c r="X103" s="10"/>
      <c r="Y103" s="10"/>
      <c r="Z103" s="13"/>
    </row>
    <row r="104" spans="1:26" ht="64.5" thickBot="1">
      <c r="A104" s="118">
        <f t="shared" si="1"/>
        <v>88</v>
      </c>
      <c r="B104" s="59" t="s">
        <v>78</v>
      </c>
      <c r="C104" s="7" t="s">
        <v>79</v>
      </c>
      <c r="D104" s="48" t="s">
        <v>76</v>
      </c>
      <c r="E104" s="46" t="s">
        <v>77</v>
      </c>
      <c r="F104" s="138">
        <v>893</v>
      </c>
      <c r="G104" s="125" t="s">
        <v>62</v>
      </c>
      <c r="H104" s="125">
        <v>18</v>
      </c>
      <c r="I104" s="117">
        <v>42206501000</v>
      </c>
      <c r="J104" s="23" t="s">
        <v>30</v>
      </c>
      <c r="K104" s="78">
        <v>396000</v>
      </c>
      <c r="L104" s="40" t="s">
        <v>12</v>
      </c>
      <c r="M104" s="39" t="s">
        <v>12</v>
      </c>
      <c r="N104" s="79" t="s">
        <v>379</v>
      </c>
      <c r="O104" s="29"/>
      <c r="P104" s="10"/>
      <c r="Q104" s="10"/>
      <c r="R104" s="10"/>
      <c r="S104" s="10"/>
      <c r="T104" s="10"/>
      <c r="U104" s="10"/>
      <c r="V104" s="10"/>
      <c r="W104" s="10"/>
      <c r="X104" s="10"/>
      <c r="Y104" s="10"/>
      <c r="Z104" s="13"/>
    </row>
    <row r="105" spans="1:26" ht="84">
      <c r="A105" s="118">
        <f t="shared" si="1"/>
        <v>89</v>
      </c>
      <c r="B105" s="102" t="s">
        <v>86</v>
      </c>
      <c r="C105" s="50">
        <v>2101030</v>
      </c>
      <c r="D105" s="7" t="s">
        <v>87</v>
      </c>
      <c r="E105" s="43" t="s">
        <v>85</v>
      </c>
      <c r="F105" s="125">
        <v>729</v>
      </c>
      <c r="G105" s="134" t="s">
        <v>444</v>
      </c>
      <c r="H105" s="134">
        <v>1.07</v>
      </c>
      <c r="I105" s="117">
        <v>42206501000</v>
      </c>
      <c r="J105" s="64" t="s">
        <v>30</v>
      </c>
      <c r="K105" s="62">
        <v>145000</v>
      </c>
      <c r="L105" s="40" t="s">
        <v>12</v>
      </c>
      <c r="M105" s="39" t="s">
        <v>12</v>
      </c>
      <c r="N105" s="79" t="s">
        <v>379</v>
      </c>
      <c r="O105" s="29"/>
      <c r="P105" s="10"/>
      <c r="Q105" s="10"/>
      <c r="R105" s="10"/>
      <c r="S105" s="10"/>
      <c r="T105" s="10"/>
      <c r="U105" s="10"/>
      <c r="V105" s="10"/>
      <c r="W105" s="10"/>
      <c r="X105" s="10"/>
      <c r="Y105" s="10"/>
      <c r="Z105" s="13"/>
    </row>
    <row r="106" spans="1:26" ht="53.25" thickBot="1">
      <c r="A106" s="118">
        <f t="shared" si="1"/>
        <v>90</v>
      </c>
      <c r="B106" s="102" t="s">
        <v>20</v>
      </c>
      <c r="C106" s="57" t="s">
        <v>102</v>
      </c>
      <c r="D106" s="58" t="s">
        <v>103</v>
      </c>
      <c r="E106" s="58" t="s">
        <v>21</v>
      </c>
      <c r="F106" s="139">
        <v>642</v>
      </c>
      <c r="G106" s="140" t="s">
        <v>372</v>
      </c>
      <c r="H106" s="151">
        <f>4750+1214.4+69.6+43.2</f>
        <v>6077.2</v>
      </c>
      <c r="I106" s="117">
        <v>42206501000</v>
      </c>
      <c r="J106" s="23" t="s">
        <v>30</v>
      </c>
      <c r="K106" s="62">
        <v>1401717</v>
      </c>
      <c r="L106" s="7" t="s">
        <v>54</v>
      </c>
      <c r="M106" s="7" t="s">
        <v>53</v>
      </c>
      <c r="N106" s="64" t="s">
        <v>416</v>
      </c>
      <c r="O106" s="29" t="s">
        <v>438</v>
      </c>
      <c r="P106" s="10"/>
      <c r="Q106" s="10"/>
      <c r="R106" s="10"/>
      <c r="S106" s="10"/>
      <c r="T106" s="10"/>
      <c r="U106" s="10"/>
      <c r="V106" s="10"/>
      <c r="W106" s="10"/>
      <c r="X106" s="10"/>
      <c r="Y106" s="10"/>
      <c r="Z106" s="13"/>
    </row>
    <row r="107" spans="1:26" ht="52.5">
      <c r="A107" s="118">
        <f t="shared" si="1"/>
        <v>91</v>
      </c>
      <c r="B107" s="102" t="s">
        <v>140</v>
      </c>
      <c r="C107" s="57">
        <v>2219120</v>
      </c>
      <c r="D107" s="58" t="s">
        <v>103</v>
      </c>
      <c r="E107" s="63" t="s">
        <v>141</v>
      </c>
      <c r="F107" s="140">
        <v>876</v>
      </c>
      <c r="G107" s="151" t="s">
        <v>62</v>
      </c>
      <c r="H107" s="151">
        <v>1</v>
      </c>
      <c r="I107" s="117">
        <v>42206501000</v>
      </c>
      <c r="J107" s="23" t="s">
        <v>30</v>
      </c>
      <c r="K107" s="62">
        <v>37760</v>
      </c>
      <c r="L107" s="40" t="s">
        <v>12</v>
      </c>
      <c r="M107" s="39" t="s">
        <v>12</v>
      </c>
      <c r="N107" s="79" t="s">
        <v>379</v>
      </c>
      <c r="O107" s="23"/>
      <c r="P107" s="10"/>
      <c r="Q107" s="10"/>
      <c r="R107" s="10"/>
      <c r="S107" s="10"/>
      <c r="T107" s="10"/>
      <c r="U107" s="10"/>
      <c r="V107" s="10"/>
      <c r="W107" s="10"/>
      <c r="X107" s="10"/>
      <c r="Y107" s="10"/>
      <c r="Z107" s="13"/>
    </row>
    <row r="108" spans="1:26" ht="52.5">
      <c r="A108" s="118">
        <f t="shared" si="1"/>
        <v>92</v>
      </c>
      <c r="B108" s="102" t="s">
        <v>157</v>
      </c>
      <c r="C108" s="57">
        <v>4510040</v>
      </c>
      <c r="D108" s="58" t="s">
        <v>164</v>
      </c>
      <c r="E108" s="18" t="s">
        <v>156</v>
      </c>
      <c r="F108" s="141" t="s">
        <v>445</v>
      </c>
      <c r="G108" s="140" t="s">
        <v>19</v>
      </c>
      <c r="H108" s="140">
        <v>1562</v>
      </c>
      <c r="I108" s="117">
        <v>42206501000</v>
      </c>
      <c r="J108" s="57" t="s">
        <v>30</v>
      </c>
      <c r="K108" s="62">
        <v>7323618</v>
      </c>
      <c r="L108" s="27" t="s">
        <v>162</v>
      </c>
      <c r="M108" s="27" t="s">
        <v>163</v>
      </c>
      <c r="N108" s="23" t="s">
        <v>416</v>
      </c>
      <c r="O108" s="29" t="s">
        <v>438</v>
      </c>
      <c r="P108" s="10"/>
      <c r="Q108" s="10"/>
      <c r="R108" s="10"/>
      <c r="S108" s="10"/>
      <c r="T108" s="10"/>
      <c r="U108" s="10"/>
      <c r="V108" s="10"/>
      <c r="W108" s="10"/>
      <c r="X108" s="10"/>
      <c r="Y108" s="10"/>
      <c r="Z108" s="13"/>
    </row>
    <row r="109" spans="1:26" ht="84">
      <c r="A109" s="118">
        <f t="shared" si="1"/>
        <v>93</v>
      </c>
      <c r="B109" s="102" t="s">
        <v>158</v>
      </c>
      <c r="C109" s="57">
        <v>7427000</v>
      </c>
      <c r="D109" s="58" t="s">
        <v>159</v>
      </c>
      <c r="E109" s="63" t="s">
        <v>160</v>
      </c>
      <c r="F109" s="140">
        <v>796</v>
      </c>
      <c r="G109" s="140" t="s">
        <v>446</v>
      </c>
      <c r="H109" s="140">
        <v>38</v>
      </c>
      <c r="I109" s="117">
        <v>42206501000</v>
      </c>
      <c r="J109" s="57" t="s">
        <v>161</v>
      </c>
      <c r="K109" s="62">
        <v>3800000</v>
      </c>
      <c r="L109" s="27" t="s">
        <v>162</v>
      </c>
      <c r="M109" s="27" t="s">
        <v>163</v>
      </c>
      <c r="N109" s="23" t="s">
        <v>416</v>
      </c>
      <c r="O109" s="29" t="s">
        <v>438</v>
      </c>
      <c r="P109" s="10"/>
      <c r="Q109" s="10"/>
      <c r="R109" s="10"/>
      <c r="S109" s="10"/>
      <c r="T109" s="10"/>
      <c r="U109" s="10"/>
      <c r="V109" s="10"/>
      <c r="W109" s="10"/>
      <c r="X109" s="10"/>
      <c r="Y109" s="10"/>
      <c r="Z109" s="13"/>
    </row>
    <row r="110" spans="1:26" ht="53.25" thickBot="1">
      <c r="A110" s="118">
        <f t="shared" si="1"/>
        <v>94</v>
      </c>
      <c r="B110" s="102" t="s">
        <v>157</v>
      </c>
      <c r="C110" s="57">
        <v>4510040</v>
      </c>
      <c r="D110" s="58" t="s">
        <v>165</v>
      </c>
      <c r="E110" s="18" t="s">
        <v>156</v>
      </c>
      <c r="F110" s="141" t="s">
        <v>445</v>
      </c>
      <c r="G110" s="140" t="s">
        <v>19</v>
      </c>
      <c r="H110" s="140">
        <v>270</v>
      </c>
      <c r="I110" s="117">
        <v>42206501000</v>
      </c>
      <c r="J110" s="57" t="s">
        <v>30</v>
      </c>
      <c r="K110" s="62">
        <v>829993</v>
      </c>
      <c r="L110" s="27" t="s">
        <v>162</v>
      </c>
      <c r="M110" s="27" t="s">
        <v>163</v>
      </c>
      <c r="N110" s="23" t="s">
        <v>416</v>
      </c>
      <c r="O110" s="29" t="s">
        <v>438</v>
      </c>
      <c r="P110" s="10"/>
      <c r="Q110" s="10"/>
      <c r="R110" s="10"/>
      <c r="S110" s="10"/>
      <c r="T110" s="10"/>
      <c r="U110" s="10"/>
      <c r="V110" s="10"/>
      <c r="W110" s="10"/>
      <c r="X110" s="10"/>
      <c r="Y110" s="10"/>
      <c r="Z110" s="13"/>
    </row>
    <row r="111" spans="1:26" ht="53.25" thickBot="1">
      <c r="A111" s="118">
        <f t="shared" si="1"/>
        <v>95</v>
      </c>
      <c r="B111" s="102" t="s">
        <v>166</v>
      </c>
      <c r="C111" s="57">
        <v>8040020</v>
      </c>
      <c r="D111" s="58" t="s">
        <v>168</v>
      </c>
      <c r="E111" s="8" t="s">
        <v>167</v>
      </c>
      <c r="F111" s="125">
        <v>792</v>
      </c>
      <c r="G111" s="140" t="s">
        <v>169</v>
      </c>
      <c r="H111" s="140">
        <v>46</v>
      </c>
      <c r="I111" s="117">
        <v>42206501000</v>
      </c>
      <c r="J111" s="57" t="s">
        <v>30</v>
      </c>
      <c r="K111" s="62">
        <v>286000</v>
      </c>
      <c r="L111" s="40" t="s">
        <v>12</v>
      </c>
      <c r="M111" s="39" t="s">
        <v>12</v>
      </c>
      <c r="N111" s="79" t="s">
        <v>379</v>
      </c>
      <c r="O111" s="29"/>
      <c r="P111" s="10"/>
      <c r="Q111" s="10"/>
      <c r="R111" s="10"/>
      <c r="S111" s="10"/>
      <c r="T111" s="10"/>
      <c r="U111" s="10"/>
      <c r="V111" s="10"/>
      <c r="W111" s="10"/>
      <c r="X111" s="10"/>
      <c r="Y111" s="10"/>
      <c r="Z111" s="13"/>
    </row>
    <row r="112" spans="1:26" ht="53.25" thickBot="1">
      <c r="A112" s="118">
        <f t="shared" si="1"/>
        <v>96</v>
      </c>
      <c r="B112" s="102" t="s">
        <v>332</v>
      </c>
      <c r="C112" s="57">
        <v>3120485</v>
      </c>
      <c r="D112" s="58" t="s">
        <v>103</v>
      </c>
      <c r="E112" s="66" t="s">
        <v>170</v>
      </c>
      <c r="F112" s="68">
        <v>796</v>
      </c>
      <c r="G112" s="67" t="s">
        <v>15</v>
      </c>
      <c r="H112" s="68">
        <f>2+2</f>
        <v>4</v>
      </c>
      <c r="I112" s="117">
        <v>42206501000</v>
      </c>
      <c r="J112" s="57" t="s">
        <v>30</v>
      </c>
      <c r="K112" s="62">
        <f>[1]Лист3!$F$4</f>
        <v>7880.5119999999988</v>
      </c>
      <c r="L112" s="40" t="s">
        <v>12</v>
      </c>
      <c r="M112" s="39" t="s">
        <v>12</v>
      </c>
      <c r="N112" s="79" t="s">
        <v>379</v>
      </c>
      <c r="O112" s="29"/>
      <c r="P112" s="10"/>
      <c r="Q112" s="10"/>
      <c r="R112" s="10"/>
      <c r="S112" s="10"/>
      <c r="T112" s="10"/>
      <c r="U112" s="10"/>
      <c r="V112" s="10"/>
      <c r="W112" s="10"/>
      <c r="X112" s="10"/>
      <c r="Y112" s="10"/>
      <c r="Z112" s="13"/>
    </row>
    <row r="113" spans="1:26" ht="53.25" thickBot="1">
      <c r="A113" s="118">
        <f t="shared" si="1"/>
        <v>97</v>
      </c>
      <c r="B113" s="102" t="s">
        <v>333</v>
      </c>
      <c r="C113" s="57">
        <v>2928705</v>
      </c>
      <c r="D113" s="58" t="s">
        <v>103</v>
      </c>
      <c r="E113" s="69" t="s">
        <v>171</v>
      </c>
      <c r="F113" s="68">
        <v>796</v>
      </c>
      <c r="G113" s="67" t="s">
        <v>15</v>
      </c>
      <c r="H113" s="68">
        <v>88</v>
      </c>
      <c r="I113" s="117">
        <v>42206501000</v>
      </c>
      <c r="J113" s="57" t="s">
        <v>30</v>
      </c>
      <c r="K113" s="62">
        <f>[1]Лист3!$F$5</f>
        <v>1038.3999999999999</v>
      </c>
      <c r="L113" s="40" t="s">
        <v>12</v>
      </c>
      <c r="M113" s="39" t="s">
        <v>12</v>
      </c>
      <c r="N113" s="79" t="s">
        <v>379</v>
      </c>
      <c r="O113" s="29"/>
      <c r="P113" s="10"/>
      <c r="Q113" s="10"/>
      <c r="R113" s="10"/>
      <c r="S113" s="10"/>
      <c r="T113" s="10"/>
      <c r="U113" s="10"/>
      <c r="V113" s="10"/>
      <c r="W113" s="10"/>
      <c r="X113" s="10"/>
      <c r="Y113" s="10"/>
      <c r="Z113" s="13"/>
    </row>
    <row r="114" spans="1:26" ht="53.25" thickBot="1">
      <c r="A114" s="118">
        <f t="shared" si="1"/>
        <v>98</v>
      </c>
      <c r="B114" s="102" t="s">
        <v>334</v>
      </c>
      <c r="C114" s="57">
        <v>2714830</v>
      </c>
      <c r="D114" s="58" t="s">
        <v>103</v>
      </c>
      <c r="E114" s="66" t="s">
        <v>172</v>
      </c>
      <c r="F114" s="68">
        <v>796</v>
      </c>
      <c r="G114" s="68" t="s">
        <v>15</v>
      </c>
      <c r="H114" s="68">
        <v>6</v>
      </c>
      <c r="I114" s="117">
        <v>42206501000</v>
      </c>
      <c r="J114" s="57" t="s">
        <v>30</v>
      </c>
      <c r="K114" s="62">
        <f>[1]Лист3!$F$6</f>
        <v>948.71999999999991</v>
      </c>
      <c r="L114" s="40" t="s">
        <v>12</v>
      </c>
      <c r="M114" s="39" t="s">
        <v>12</v>
      </c>
      <c r="N114" s="79" t="s">
        <v>379</v>
      </c>
      <c r="O114" s="29"/>
      <c r="P114" s="10"/>
      <c r="Q114" s="10"/>
      <c r="R114" s="10"/>
      <c r="S114" s="10"/>
      <c r="T114" s="10"/>
      <c r="U114" s="10"/>
      <c r="V114" s="10"/>
      <c r="W114" s="10"/>
      <c r="X114" s="10"/>
      <c r="Y114" s="10"/>
      <c r="Z114" s="13"/>
    </row>
    <row r="115" spans="1:26" ht="53.25" thickBot="1">
      <c r="A115" s="118">
        <f t="shared" si="1"/>
        <v>99</v>
      </c>
      <c r="B115" s="102" t="s">
        <v>10</v>
      </c>
      <c r="C115" s="57">
        <v>2944124</v>
      </c>
      <c r="D115" s="58" t="s">
        <v>103</v>
      </c>
      <c r="E115" s="66" t="s">
        <v>173</v>
      </c>
      <c r="F115" s="68">
        <v>168</v>
      </c>
      <c r="G115" s="67" t="s">
        <v>17</v>
      </c>
      <c r="H115" s="68">
        <f>0.348+0.083+0.04+0.04+0.081+0.034</f>
        <v>0.626</v>
      </c>
      <c r="I115" s="117">
        <v>42206501000</v>
      </c>
      <c r="J115" s="57" t="s">
        <v>30</v>
      </c>
      <c r="K115" s="62">
        <f>[1]Лист3!$F$7</f>
        <v>19806.470604399998</v>
      </c>
      <c r="L115" s="40" t="s">
        <v>12</v>
      </c>
      <c r="M115" s="39" t="s">
        <v>12</v>
      </c>
      <c r="N115" s="79" t="s">
        <v>379</v>
      </c>
      <c r="O115" s="29"/>
      <c r="P115" s="10"/>
      <c r="Q115" s="10"/>
      <c r="R115" s="10"/>
      <c r="S115" s="10"/>
      <c r="T115" s="10"/>
      <c r="U115" s="10"/>
      <c r="V115" s="10"/>
      <c r="W115" s="10"/>
      <c r="X115" s="10"/>
      <c r="Y115" s="10"/>
      <c r="Z115" s="13"/>
    </row>
    <row r="116" spans="1:26" ht="53.25" thickBot="1">
      <c r="A116" s="118">
        <f t="shared" si="1"/>
        <v>100</v>
      </c>
      <c r="B116" s="102" t="s">
        <v>335</v>
      </c>
      <c r="C116" s="73">
        <v>2699870</v>
      </c>
      <c r="D116" s="58" t="s">
        <v>103</v>
      </c>
      <c r="E116" s="66" t="s">
        <v>174</v>
      </c>
      <c r="F116" s="68">
        <v>168</v>
      </c>
      <c r="G116" s="67" t="s">
        <v>17</v>
      </c>
      <c r="H116" s="68">
        <v>3.57</v>
      </c>
      <c r="I116" s="117">
        <v>42206501000</v>
      </c>
      <c r="J116" s="57" t="s">
        <v>30</v>
      </c>
      <c r="K116" s="62">
        <f>[1]Лист3!$F$8</f>
        <v>11598.972839999999</v>
      </c>
      <c r="L116" s="40" t="s">
        <v>12</v>
      </c>
      <c r="M116" s="39" t="s">
        <v>12</v>
      </c>
      <c r="N116" s="79" t="s">
        <v>379</v>
      </c>
      <c r="O116" s="29"/>
    </row>
    <row r="117" spans="1:26" ht="53.25" thickBot="1">
      <c r="A117" s="118">
        <f t="shared" si="1"/>
        <v>101</v>
      </c>
      <c r="B117" s="102" t="s">
        <v>336</v>
      </c>
      <c r="C117" s="57">
        <v>2919100</v>
      </c>
      <c r="D117" s="58" t="s">
        <v>103</v>
      </c>
      <c r="E117" s="66" t="s">
        <v>175</v>
      </c>
      <c r="F117" s="68">
        <v>166</v>
      </c>
      <c r="G117" s="67" t="s">
        <v>176</v>
      </c>
      <c r="H117" s="68">
        <f>0.13+1+0.06+1+0.06+1+2+1+2+1+1+1+1+1+2+2+3.5</f>
        <v>20.75</v>
      </c>
      <c r="I117" s="117">
        <v>42206501000</v>
      </c>
      <c r="J117" s="57" t="s">
        <v>30</v>
      </c>
      <c r="K117" s="62">
        <f>[1]Лист3!$F$9</f>
        <v>6482.4037499999995</v>
      </c>
      <c r="L117" s="40" t="s">
        <v>12</v>
      </c>
      <c r="M117" s="39" t="s">
        <v>12</v>
      </c>
      <c r="N117" s="79" t="s">
        <v>379</v>
      </c>
      <c r="O117" s="29"/>
      <c r="P117" s="10"/>
      <c r="Q117" s="10"/>
      <c r="R117" s="10"/>
      <c r="S117" s="10"/>
      <c r="T117" s="10"/>
      <c r="U117" s="10"/>
      <c r="V117" s="10"/>
      <c r="W117" s="10"/>
      <c r="X117" s="10"/>
      <c r="Y117" s="10"/>
      <c r="Z117" s="13"/>
    </row>
    <row r="118" spans="1:26" ht="53.25" thickBot="1">
      <c r="A118" s="118">
        <f t="shared" si="1"/>
        <v>102</v>
      </c>
      <c r="B118" s="102" t="s">
        <v>338</v>
      </c>
      <c r="C118" s="57">
        <v>2921546</v>
      </c>
      <c r="D118" s="58" t="s">
        <v>103</v>
      </c>
      <c r="E118" s="69" t="s">
        <v>337</v>
      </c>
      <c r="F118" s="67">
        <v>796</v>
      </c>
      <c r="G118" s="67" t="s">
        <v>15</v>
      </c>
      <c r="H118" s="67">
        <v>1</v>
      </c>
      <c r="I118" s="117">
        <v>42206501000</v>
      </c>
      <c r="J118" s="57" t="s">
        <v>30</v>
      </c>
      <c r="K118" s="62">
        <v>480629</v>
      </c>
      <c r="L118" s="40" t="s">
        <v>12</v>
      </c>
      <c r="M118" s="39" t="s">
        <v>12</v>
      </c>
      <c r="N118" s="79" t="s">
        <v>379</v>
      </c>
      <c r="O118" s="29"/>
      <c r="P118" s="10"/>
      <c r="Q118" s="10"/>
      <c r="R118" s="10"/>
      <c r="S118" s="10"/>
      <c r="T118" s="10"/>
      <c r="U118" s="10"/>
      <c r="V118" s="10"/>
      <c r="W118" s="10"/>
      <c r="X118" s="10"/>
      <c r="Y118" s="10"/>
      <c r="Z118" s="13"/>
    </row>
    <row r="119" spans="1:26" ht="53.25" thickBot="1">
      <c r="A119" s="118">
        <f t="shared" si="1"/>
        <v>103</v>
      </c>
      <c r="B119" s="102" t="s">
        <v>338</v>
      </c>
      <c r="C119" s="57">
        <v>2921546</v>
      </c>
      <c r="D119" s="58" t="s">
        <v>103</v>
      </c>
      <c r="E119" s="69" t="s">
        <v>337</v>
      </c>
      <c r="F119" s="67">
        <v>796</v>
      </c>
      <c r="G119" s="67" t="s">
        <v>15</v>
      </c>
      <c r="H119" s="67">
        <v>1</v>
      </c>
      <c r="I119" s="117">
        <v>42206501000</v>
      </c>
      <c r="J119" s="57" t="s">
        <v>30</v>
      </c>
      <c r="K119" s="62">
        <v>480629</v>
      </c>
      <c r="L119" s="40" t="s">
        <v>12</v>
      </c>
      <c r="M119" s="39" t="s">
        <v>12</v>
      </c>
      <c r="N119" s="79" t="s">
        <v>379</v>
      </c>
      <c r="O119" s="29"/>
      <c r="P119" s="10"/>
      <c r="Q119" s="10"/>
      <c r="R119" s="10"/>
      <c r="S119" s="10"/>
      <c r="T119" s="10"/>
      <c r="U119" s="10"/>
      <c r="V119" s="10"/>
      <c r="W119" s="10"/>
      <c r="X119" s="10"/>
      <c r="Y119" s="10"/>
      <c r="Z119" s="13"/>
    </row>
    <row r="120" spans="1:26" ht="53.25" thickBot="1">
      <c r="A120" s="118">
        <f t="shared" si="1"/>
        <v>104</v>
      </c>
      <c r="B120" s="102" t="s">
        <v>338</v>
      </c>
      <c r="C120" s="57">
        <v>2921546</v>
      </c>
      <c r="D120" s="58" t="s">
        <v>103</v>
      </c>
      <c r="E120" s="69" t="s">
        <v>337</v>
      </c>
      <c r="F120" s="67">
        <v>796</v>
      </c>
      <c r="G120" s="67" t="s">
        <v>15</v>
      </c>
      <c r="H120" s="67">
        <v>1</v>
      </c>
      <c r="I120" s="117">
        <v>42206501000</v>
      </c>
      <c r="J120" s="57" t="s">
        <v>30</v>
      </c>
      <c r="K120" s="62">
        <v>480629</v>
      </c>
      <c r="L120" s="40" t="s">
        <v>12</v>
      </c>
      <c r="M120" s="39" t="s">
        <v>12</v>
      </c>
      <c r="N120" s="79" t="s">
        <v>379</v>
      </c>
      <c r="O120" s="29"/>
      <c r="P120" s="10"/>
      <c r="Q120" s="10"/>
      <c r="R120" s="10"/>
      <c r="S120" s="10"/>
      <c r="T120" s="10"/>
      <c r="U120" s="10"/>
      <c r="V120" s="10"/>
      <c r="W120" s="10"/>
      <c r="X120" s="10"/>
      <c r="Y120" s="10"/>
      <c r="Z120" s="13"/>
    </row>
    <row r="121" spans="1:26" ht="53.25" thickBot="1">
      <c r="A121" s="118">
        <f t="shared" si="1"/>
        <v>105</v>
      </c>
      <c r="B121" s="103" t="s">
        <v>339</v>
      </c>
      <c r="C121" s="74">
        <v>2695200</v>
      </c>
      <c r="D121" s="58" t="s">
        <v>103</v>
      </c>
      <c r="E121" s="69" t="s">
        <v>177</v>
      </c>
      <c r="F121" s="67">
        <v>113</v>
      </c>
      <c r="G121" s="67" t="s">
        <v>178</v>
      </c>
      <c r="H121" s="68">
        <f>0.37+0.19+0.104+0.11+0.21+10.21+1.3+0.1+0.1+0.1+1.3+2.84+0.2+0.1+2.84+5.36+4.41+0.8+16.66+1.06+0.5+0.7+0.23+6.56+0.4+0.33+3.06+2.6+6.5</f>
        <v>69.244</v>
      </c>
      <c r="I121" s="117">
        <v>42206501000</v>
      </c>
      <c r="J121" s="57" t="s">
        <v>30</v>
      </c>
      <c r="K121" s="62">
        <f>[1]Лист3!$F$11</f>
        <v>229301.02129199999</v>
      </c>
      <c r="L121" s="40" t="s">
        <v>12</v>
      </c>
      <c r="M121" s="39" t="s">
        <v>12</v>
      </c>
      <c r="N121" s="79" t="s">
        <v>379</v>
      </c>
      <c r="O121" s="29"/>
      <c r="P121" s="10"/>
      <c r="Q121" s="10"/>
      <c r="R121" s="10"/>
      <c r="S121" s="10"/>
      <c r="T121" s="10"/>
      <c r="U121" s="10"/>
      <c r="V121" s="10"/>
      <c r="W121" s="10"/>
      <c r="X121" s="10"/>
      <c r="Y121" s="10"/>
      <c r="Z121" s="13"/>
    </row>
    <row r="122" spans="1:26" ht="53.25" thickBot="1">
      <c r="A122" s="118">
        <f t="shared" si="1"/>
        <v>106</v>
      </c>
      <c r="B122" s="103" t="s">
        <v>335</v>
      </c>
      <c r="C122" s="74">
        <v>2320620</v>
      </c>
      <c r="D122" s="58" t="s">
        <v>103</v>
      </c>
      <c r="E122" s="66" t="s">
        <v>179</v>
      </c>
      <c r="F122" s="122" t="s">
        <v>447</v>
      </c>
      <c r="G122" s="67" t="s">
        <v>17</v>
      </c>
      <c r="H122" s="68">
        <v>2.1000000000000001E-2</v>
      </c>
      <c r="I122" s="117">
        <v>42206501000</v>
      </c>
      <c r="J122" s="57" t="s">
        <v>30</v>
      </c>
      <c r="K122" s="62">
        <f>[1]Лист3!$F$12</f>
        <v>477.07992359999997</v>
      </c>
      <c r="L122" s="40" t="s">
        <v>12</v>
      </c>
      <c r="M122" s="39" t="s">
        <v>12</v>
      </c>
      <c r="N122" s="79" t="s">
        <v>379</v>
      </c>
      <c r="O122" s="29"/>
      <c r="P122" s="10"/>
      <c r="Q122" s="10"/>
      <c r="R122" s="10"/>
      <c r="S122" s="10"/>
      <c r="T122" s="10"/>
      <c r="U122" s="10"/>
      <c r="V122" s="10"/>
      <c r="W122" s="10"/>
      <c r="X122" s="10"/>
      <c r="Y122" s="10"/>
      <c r="Z122" s="13"/>
    </row>
    <row r="123" spans="1:26" ht="53.25" thickBot="1">
      <c r="A123" s="118">
        <f t="shared" si="1"/>
        <v>107</v>
      </c>
      <c r="B123" s="102" t="s">
        <v>334</v>
      </c>
      <c r="C123" s="57">
        <v>2714830</v>
      </c>
      <c r="D123" s="58" t="s">
        <v>103</v>
      </c>
      <c r="E123" s="66" t="s">
        <v>180</v>
      </c>
      <c r="F123" s="68">
        <v>166</v>
      </c>
      <c r="G123" s="68" t="s">
        <v>176</v>
      </c>
      <c r="H123" s="68">
        <f>8.5+15+19+1.82+0.5+1+0.5+14+2+0.5+14+7.15+10+2+2.3+3+2+2+1.2+7.2+1+35.7+2.2+1+12.73+1+50+16.4+3</f>
        <v>236.7</v>
      </c>
      <c r="I123" s="117">
        <v>42206501000</v>
      </c>
      <c r="J123" s="57" t="s">
        <v>30</v>
      </c>
      <c r="K123" s="62">
        <f>[1]Лист3!$F$13</f>
        <v>26196.10974</v>
      </c>
      <c r="L123" s="40" t="s">
        <v>12</v>
      </c>
      <c r="M123" s="39" t="s">
        <v>12</v>
      </c>
      <c r="N123" s="79" t="s">
        <v>379</v>
      </c>
      <c r="O123" s="29"/>
      <c r="P123" s="10"/>
      <c r="Q123" s="10"/>
      <c r="R123" s="10"/>
      <c r="S123" s="10"/>
      <c r="T123" s="10"/>
      <c r="U123" s="10"/>
      <c r="V123" s="10"/>
      <c r="W123" s="10"/>
      <c r="X123" s="10"/>
      <c r="Y123" s="10"/>
      <c r="Z123" s="13"/>
    </row>
    <row r="124" spans="1:26" ht="53.25" thickBot="1">
      <c r="A124" s="118">
        <f t="shared" si="1"/>
        <v>108</v>
      </c>
      <c r="B124" s="102" t="s">
        <v>340</v>
      </c>
      <c r="C124" s="57">
        <v>4530222</v>
      </c>
      <c r="D124" s="58" t="s">
        <v>103</v>
      </c>
      <c r="E124" s="70" t="s">
        <v>181</v>
      </c>
      <c r="F124" s="120">
        <v>796</v>
      </c>
      <c r="G124" s="67" t="s">
        <v>15</v>
      </c>
      <c r="H124" s="68">
        <v>1</v>
      </c>
      <c r="I124" s="117">
        <v>42206501000</v>
      </c>
      <c r="J124" s="57" t="s">
        <v>30</v>
      </c>
      <c r="K124" s="62">
        <f>[1]Лист3!$F$14</f>
        <v>18744.3</v>
      </c>
      <c r="L124" s="40" t="s">
        <v>12</v>
      </c>
      <c r="M124" s="39" t="s">
        <v>12</v>
      </c>
      <c r="N124" s="79" t="s">
        <v>379</v>
      </c>
      <c r="O124" s="29"/>
      <c r="P124" s="10"/>
      <c r="Q124" s="10"/>
      <c r="R124" s="10"/>
      <c r="S124" s="10"/>
      <c r="T124" s="10"/>
      <c r="U124" s="10"/>
      <c r="V124" s="10"/>
      <c r="W124" s="10"/>
      <c r="X124" s="10"/>
      <c r="Y124" s="10"/>
      <c r="Z124" s="13"/>
    </row>
    <row r="125" spans="1:26" ht="53.25" thickBot="1">
      <c r="A125" s="118">
        <f t="shared" si="1"/>
        <v>109</v>
      </c>
      <c r="B125" s="102" t="s">
        <v>341</v>
      </c>
      <c r="C125" s="57">
        <v>2897020</v>
      </c>
      <c r="D125" s="58" t="s">
        <v>103</v>
      </c>
      <c r="E125" s="71" t="s">
        <v>182</v>
      </c>
      <c r="F125" s="120">
        <v>796</v>
      </c>
      <c r="G125" s="67" t="s">
        <v>15</v>
      </c>
      <c r="H125" s="68">
        <f>10+1+1+1+2+20</f>
        <v>35</v>
      </c>
      <c r="I125" s="117">
        <v>42206501000</v>
      </c>
      <c r="J125" s="57" t="s">
        <v>30</v>
      </c>
      <c r="K125" s="62">
        <f>[1]Лист3!$F$15</f>
        <v>6560.5049999999992</v>
      </c>
      <c r="L125" s="40" t="s">
        <v>12</v>
      </c>
      <c r="M125" s="39" t="s">
        <v>12</v>
      </c>
      <c r="N125" s="79" t="s">
        <v>379</v>
      </c>
      <c r="O125" s="29"/>
      <c r="P125" s="10"/>
      <c r="Q125" s="10"/>
      <c r="R125" s="10"/>
      <c r="S125" s="10"/>
      <c r="T125" s="10"/>
      <c r="U125" s="10"/>
      <c r="V125" s="10"/>
      <c r="W125" s="10"/>
      <c r="X125" s="10"/>
      <c r="Y125" s="10"/>
      <c r="Z125" s="13"/>
    </row>
    <row r="126" spans="1:26" ht="53.25" thickBot="1">
      <c r="A126" s="118">
        <f t="shared" si="1"/>
        <v>110</v>
      </c>
      <c r="B126" s="102" t="s">
        <v>332</v>
      </c>
      <c r="C126" s="57">
        <v>3120485</v>
      </c>
      <c r="D126" s="58" t="s">
        <v>103</v>
      </c>
      <c r="E126" s="71" t="s">
        <v>183</v>
      </c>
      <c r="F126" s="120">
        <v>796</v>
      </c>
      <c r="G126" s="67" t="s">
        <v>15</v>
      </c>
      <c r="H126" s="68">
        <f>4+4</f>
        <v>8</v>
      </c>
      <c r="I126" s="117">
        <v>42206501000</v>
      </c>
      <c r="J126" s="57" t="s">
        <v>30</v>
      </c>
      <c r="K126" s="62">
        <f>[1]Лист3!$F$16</f>
        <v>3494.4991999999997</v>
      </c>
      <c r="L126" s="40" t="s">
        <v>12</v>
      </c>
      <c r="M126" s="39" t="s">
        <v>12</v>
      </c>
      <c r="N126" s="79" t="s">
        <v>379</v>
      </c>
      <c r="O126" s="29"/>
      <c r="P126" s="10"/>
      <c r="Q126" s="10"/>
      <c r="R126" s="10"/>
      <c r="S126" s="10"/>
      <c r="T126" s="10"/>
      <c r="U126" s="10"/>
      <c r="V126" s="10"/>
      <c r="W126" s="10"/>
      <c r="X126" s="10"/>
      <c r="Y126" s="10"/>
      <c r="Z126" s="13"/>
    </row>
    <row r="127" spans="1:26" ht="53.25" thickBot="1">
      <c r="A127" s="118">
        <f t="shared" si="1"/>
        <v>111</v>
      </c>
      <c r="B127" s="102" t="s">
        <v>332</v>
      </c>
      <c r="C127" s="57">
        <v>3120485</v>
      </c>
      <c r="D127" s="58" t="s">
        <v>103</v>
      </c>
      <c r="E127" s="71" t="s">
        <v>184</v>
      </c>
      <c r="F127" s="120">
        <v>796</v>
      </c>
      <c r="G127" s="67" t="s">
        <v>15</v>
      </c>
      <c r="H127" s="68">
        <f>1+1</f>
        <v>2</v>
      </c>
      <c r="I127" s="117">
        <v>42206501000</v>
      </c>
      <c r="J127" s="57" t="s">
        <v>30</v>
      </c>
      <c r="K127" s="62">
        <f>[1]Лист3!$F$17</f>
        <v>1024.6884</v>
      </c>
      <c r="L127" s="40" t="s">
        <v>12</v>
      </c>
      <c r="M127" s="39" t="s">
        <v>12</v>
      </c>
      <c r="N127" s="79" t="s">
        <v>379</v>
      </c>
      <c r="O127" s="29"/>
      <c r="P127" s="10"/>
      <c r="Q127" s="10"/>
      <c r="R127" s="10"/>
      <c r="S127" s="10"/>
      <c r="T127" s="10"/>
      <c r="U127" s="10"/>
      <c r="V127" s="10"/>
      <c r="W127" s="10"/>
      <c r="X127" s="10"/>
      <c r="Y127" s="10"/>
      <c r="Z127" s="13"/>
    </row>
    <row r="128" spans="1:26" ht="53.25" thickBot="1">
      <c r="A128" s="118">
        <f t="shared" si="1"/>
        <v>112</v>
      </c>
      <c r="B128" s="102" t="s">
        <v>342</v>
      </c>
      <c r="C128" s="57">
        <v>1112010</v>
      </c>
      <c r="D128" s="58" t="s">
        <v>103</v>
      </c>
      <c r="E128" s="66" t="s">
        <v>185</v>
      </c>
      <c r="F128" s="68">
        <v>166</v>
      </c>
      <c r="G128" s="68" t="s">
        <v>176</v>
      </c>
      <c r="H128" s="68">
        <f>5+5+5+2+2+2+1+2+2+1+1+17</f>
        <v>45</v>
      </c>
      <c r="I128" s="117">
        <v>42206501000</v>
      </c>
      <c r="J128" s="57" t="s">
        <v>30</v>
      </c>
      <c r="K128" s="62">
        <f>[1]Лист3!$F$18</f>
        <v>1743.2729999999999</v>
      </c>
      <c r="L128" s="40" t="s">
        <v>12</v>
      </c>
      <c r="M128" s="39" t="s">
        <v>12</v>
      </c>
      <c r="N128" s="79" t="s">
        <v>379</v>
      </c>
      <c r="O128" s="29"/>
      <c r="P128" s="10"/>
      <c r="Q128" s="10"/>
      <c r="R128" s="10"/>
      <c r="S128" s="10"/>
      <c r="T128" s="10"/>
      <c r="U128" s="10"/>
      <c r="V128" s="10"/>
      <c r="W128" s="10"/>
      <c r="X128" s="10"/>
      <c r="Y128" s="10"/>
      <c r="Z128" s="13"/>
    </row>
    <row r="129" spans="1:26" ht="53.25" thickBot="1">
      <c r="A129" s="118">
        <f t="shared" si="1"/>
        <v>113</v>
      </c>
      <c r="B129" s="102" t="s">
        <v>334</v>
      </c>
      <c r="C129" s="57">
        <v>2714830</v>
      </c>
      <c r="D129" s="58" t="s">
        <v>103</v>
      </c>
      <c r="E129" s="66" t="s">
        <v>186</v>
      </c>
      <c r="F129" s="68">
        <v>166</v>
      </c>
      <c r="G129" s="68" t="s">
        <v>176</v>
      </c>
      <c r="H129" s="68">
        <f>1.5+3+3+0.61+0.3+0.5+0.3+6.8+1+0.3+6.8+1.25+8.4+0.8+2+3.6+1+1+1+4+0.05+6.3+1.05+0.06+2.01+0.6+22.68+3.1+1.85</f>
        <v>84.859999999999985</v>
      </c>
      <c r="I129" s="117">
        <v>42206501000</v>
      </c>
      <c r="J129" s="57" t="s">
        <v>30</v>
      </c>
      <c r="K129" s="62">
        <f>[1]Лист3!$F$19</f>
        <v>10004.467867999998</v>
      </c>
      <c r="L129" s="40" t="s">
        <v>12</v>
      </c>
      <c r="M129" s="39" t="s">
        <v>12</v>
      </c>
      <c r="N129" s="79" t="s">
        <v>379</v>
      </c>
      <c r="O129" s="29"/>
      <c r="P129" s="10"/>
      <c r="Q129" s="10"/>
      <c r="R129" s="10"/>
      <c r="S129" s="10"/>
      <c r="T129" s="10"/>
      <c r="U129" s="10"/>
      <c r="V129" s="10"/>
      <c r="W129" s="10"/>
      <c r="X129" s="10"/>
      <c r="Y129" s="10"/>
      <c r="Z129" s="13"/>
    </row>
    <row r="130" spans="1:26" ht="53.25" thickBot="1">
      <c r="A130" s="118">
        <f t="shared" si="1"/>
        <v>114</v>
      </c>
      <c r="B130" s="102" t="s">
        <v>343</v>
      </c>
      <c r="C130" s="57">
        <v>3697338</v>
      </c>
      <c r="D130" s="58" t="s">
        <v>103</v>
      </c>
      <c r="E130" s="66" t="s">
        <v>187</v>
      </c>
      <c r="F130" s="68">
        <v>166</v>
      </c>
      <c r="G130" s="67" t="s">
        <v>176</v>
      </c>
      <c r="H130" s="68">
        <f>0.21+0.1+0.05+0.05+0.1+3+3+3+1</f>
        <v>10.51</v>
      </c>
      <c r="I130" s="117">
        <v>42206501000</v>
      </c>
      <c r="J130" s="57" t="s">
        <v>30</v>
      </c>
      <c r="K130" s="62">
        <f>[1]Лист3!$F$20</f>
        <v>905.33140000000003</v>
      </c>
      <c r="L130" s="40" t="s">
        <v>12</v>
      </c>
      <c r="M130" s="39" t="s">
        <v>12</v>
      </c>
      <c r="N130" s="79" t="s">
        <v>379</v>
      </c>
      <c r="O130" s="29"/>
      <c r="P130" s="10"/>
      <c r="Q130" s="10"/>
      <c r="R130" s="10"/>
      <c r="S130" s="10"/>
      <c r="T130" s="10"/>
      <c r="U130" s="10"/>
      <c r="V130" s="10"/>
      <c r="W130" s="10"/>
      <c r="X130" s="10"/>
      <c r="Y130" s="10"/>
      <c r="Z130" s="13"/>
    </row>
    <row r="131" spans="1:26" ht="53.25" thickBot="1">
      <c r="A131" s="118">
        <f t="shared" si="1"/>
        <v>115</v>
      </c>
      <c r="B131" s="102" t="s">
        <v>11</v>
      </c>
      <c r="C131" s="57">
        <v>2944200</v>
      </c>
      <c r="D131" s="58" t="s">
        <v>103</v>
      </c>
      <c r="E131" s="69" t="s">
        <v>188</v>
      </c>
      <c r="F131" s="67">
        <v>796</v>
      </c>
      <c r="G131" s="67" t="s">
        <v>15</v>
      </c>
      <c r="H131" s="68">
        <f>3+15</f>
        <v>18</v>
      </c>
      <c r="I131" s="117">
        <v>42206501000</v>
      </c>
      <c r="J131" s="57" t="s">
        <v>30</v>
      </c>
      <c r="K131" s="62">
        <f>[1]Лист3!$F$21</f>
        <v>175442.4</v>
      </c>
      <c r="L131" s="40" t="s">
        <v>12</v>
      </c>
      <c r="M131" s="39" t="s">
        <v>12</v>
      </c>
      <c r="N131" s="79" t="s">
        <v>379</v>
      </c>
      <c r="O131" s="29"/>
      <c r="P131" s="10"/>
      <c r="Q131" s="10"/>
      <c r="R131" s="10"/>
      <c r="S131" s="10"/>
      <c r="T131" s="10"/>
      <c r="U131" s="10"/>
      <c r="V131" s="10"/>
      <c r="W131" s="10"/>
      <c r="X131" s="10"/>
      <c r="Y131" s="10"/>
      <c r="Z131" s="13"/>
    </row>
    <row r="132" spans="1:26" ht="53.25" thickBot="1">
      <c r="A132" s="118">
        <f t="shared" si="1"/>
        <v>116</v>
      </c>
      <c r="B132" s="102" t="s">
        <v>344</v>
      </c>
      <c r="C132" s="57">
        <v>2692220</v>
      </c>
      <c r="D132" s="58" t="s">
        <v>103</v>
      </c>
      <c r="E132" s="69" t="s">
        <v>189</v>
      </c>
      <c r="F132" s="123" t="s">
        <v>447</v>
      </c>
      <c r="G132" s="67" t="s">
        <v>17</v>
      </c>
      <c r="H132" s="68">
        <v>0.3</v>
      </c>
      <c r="I132" s="117">
        <v>42206501000</v>
      </c>
      <c r="J132" s="57" t="s">
        <v>30</v>
      </c>
      <c r="K132" s="62">
        <f>[1]Лист3!$F$22</f>
        <v>7080</v>
      </c>
      <c r="L132" s="40" t="s">
        <v>12</v>
      </c>
      <c r="M132" s="39" t="s">
        <v>12</v>
      </c>
      <c r="N132" s="79" t="s">
        <v>379</v>
      </c>
      <c r="O132" s="29"/>
      <c r="P132" s="10"/>
      <c r="Q132" s="10"/>
      <c r="R132" s="10"/>
      <c r="S132" s="10"/>
      <c r="T132" s="10"/>
      <c r="U132" s="10"/>
      <c r="V132" s="10"/>
      <c r="W132" s="10"/>
      <c r="X132" s="10"/>
      <c r="Y132" s="10"/>
      <c r="Z132" s="13"/>
    </row>
    <row r="133" spans="1:26" ht="53.25" thickBot="1">
      <c r="A133" s="118">
        <f t="shared" si="1"/>
        <v>117</v>
      </c>
      <c r="B133" s="102" t="s">
        <v>345</v>
      </c>
      <c r="C133" s="57">
        <v>2724134</v>
      </c>
      <c r="D133" s="58" t="s">
        <v>103</v>
      </c>
      <c r="E133" s="66" t="s">
        <v>190</v>
      </c>
      <c r="F133" s="123" t="s">
        <v>445</v>
      </c>
      <c r="G133" s="67" t="s">
        <v>19</v>
      </c>
      <c r="H133" s="68">
        <f>250+250</f>
        <v>500</v>
      </c>
      <c r="I133" s="117">
        <v>42206501000</v>
      </c>
      <c r="J133" s="57" t="s">
        <v>30</v>
      </c>
      <c r="K133" s="62">
        <f>[1]Лист3!$F$23</f>
        <v>2301</v>
      </c>
      <c r="L133" s="40" t="s">
        <v>12</v>
      </c>
      <c r="M133" s="39" t="s">
        <v>12</v>
      </c>
      <c r="N133" s="79" t="s">
        <v>379</v>
      </c>
      <c r="O133" s="29"/>
      <c r="P133" s="10"/>
      <c r="Q133" s="10"/>
      <c r="R133" s="10"/>
      <c r="S133" s="10"/>
      <c r="T133" s="10"/>
      <c r="U133" s="10"/>
      <c r="V133" s="10"/>
      <c r="W133" s="10"/>
      <c r="X133" s="10"/>
      <c r="Y133" s="10"/>
      <c r="Z133" s="13"/>
    </row>
    <row r="134" spans="1:26" ht="53.25" thickBot="1">
      <c r="A134" s="118">
        <f t="shared" si="1"/>
        <v>118</v>
      </c>
      <c r="B134" s="102" t="s">
        <v>345</v>
      </c>
      <c r="C134" s="57">
        <v>2724134</v>
      </c>
      <c r="D134" s="58" t="s">
        <v>103</v>
      </c>
      <c r="E134" s="66" t="s">
        <v>191</v>
      </c>
      <c r="F134" s="123" t="s">
        <v>445</v>
      </c>
      <c r="G134" s="67" t="s">
        <v>19</v>
      </c>
      <c r="H134" s="68">
        <f>150+150</f>
        <v>300</v>
      </c>
      <c r="I134" s="117">
        <v>42206501000</v>
      </c>
      <c r="J134" s="57" t="s">
        <v>30</v>
      </c>
      <c r="K134" s="62">
        <f>[1]Лист3!$F$24</f>
        <v>2194.7999999999997</v>
      </c>
      <c r="L134" s="40" t="s">
        <v>12</v>
      </c>
      <c r="M134" s="39" t="s">
        <v>12</v>
      </c>
      <c r="N134" s="79" t="s">
        <v>379</v>
      </c>
      <c r="O134" s="29"/>
      <c r="P134" s="10"/>
      <c r="Q134" s="10"/>
      <c r="R134" s="10"/>
      <c r="S134" s="10"/>
      <c r="T134" s="10"/>
      <c r="U134" s="10"/>
      <c r="V134" s="10"/>
      <c r="W134" s="10"/>
      <c r="X134" s="10"/>
      <c r="Y134" s="10"/>
      <c r="Z134" s="13"/>
    </row>
    <row r="135" spans="1:26" ht="53.25" thickBot="1">
      <c r="A135" s="118">
        <f t="shared" si="1"/>
        <v>119</v>
      </c>
      <c r="B135" s="102" t="s">
        <v>346</v>
      </c>
      <c r="C135" s="57">
        <v>5110453</v>
      </c>
      <c r="D135" s="58" t="s">
        <v>103</v>
      </c>
      <c r="E135" s="66" t="s">
        <v>192</v>
      </c>
      <c r="F135" s="68">
        <v>796</v>
      </c>
      <c r="G135" s="67" t="s">
        <v>15</v>
      </c>
      <c r="H135" s="68">
        <v>1</v>
      </c>
      <c r="I135" s="117">
        <v>42206501000</v>
      </c>
      <c r="J135" s="57" t="s">
        <v>30</v>
      </c>
      <c r="K135" s="62">
        <f>[1]Лист3!$F$25</f>
        <v>9440</v>
      </c>
      <c r="L135" s="40" t="s">
        <v>12</v>
      </c>
      <c r="M135" s="39" t="s">
        <v>12</v>
      </c>
      <c r="N135" s="79" t="s">
        <v>379</v>
      </c>
      <c r="O135" s="29"/>
      <c r="P135" s="10"/>
      <c r="Q135" s="10"/>
      <c r="R135" s="10"/>
      <c r="S135" s="10"/>
      <c r="T135" s="10"/>
      <c r="U135" s="10"/>
      <c r="V135" s="10"/>
      <c r="W135" s="10"/>
      <c r="X135" s="10"/>
      <c r="Y135" s="10"/>
      <c r="Z135" s="13"/>
    </row>
    <row r="136" spans="1:26" ht="53.25" thickBot="1">
      <c r="A136" s="118">
        <f t="shared" si="1"/>
        <v>120</v>
      </c>
      <c r="B136" s="102" t="s">
        <v>346</v>
      </c>
      <c r="C136" s="57">
        <v>5110453</v>
      </c>
      <c r="D136" s="58" t="s">
        <v>103</v>
      </c>
      <c r="E136" s="66" t="s">
        <v>193</v>
      </c>
      <c r="F136" s="123" t="s">
        <v>448</v>
      </c>
      <c r="G136" s="67" t="s">
        <v>194</v>
      </c>
      <c r="H136" s="68">
        <f>100+100</f>
        <v>200</v>
      </c>
      <c r="I136" s="117">
        <v>42206501000</v>
      </c>
      <c r="J136" s="57" t="s">
        <v>30</v>
      </c>
      <c r="K136" s="62">
        <f>[1]Лист3!$F$26</f>
        <v>12965.84</v>
      </c>
      <c r="L136" s="40" t="s">
        <v>12</v>
      </c>
      <c r="M136" s="39" t="s">
        <v>12</v>
      </c>
      <c r="N136" s="79" t="s">
        <v>379</v>
      </c>
      <c r="O136" s="29"/>
      <c r="P136" s="10"/>
      <c r="Q136" s="10"/>
      <c r="R136" s="10"/>
      <c r="S136" s="10"/>
      <c r="T136" s="10"/>
      <c r="U136" s="10"/>
      <c r="V136" s="10"/>
      <c r="W136" s="10"/>
      <c r="X136" s="10"/>
      <c r="Y136" s="10"/>
      <c r="Z136" s="13"/>
    </row>
    <row r="137" spans="1:26" ht="53.25" thickBot="1">
      <c r="A137" s="118">
        <f t="shared" si="1"/>
        <v>121</v>
      </c>
      <c r="B137" s="104" t="s">
        <v>347</v>
      </c>
      <c r="C137" s="57">
        <v>2695020</v>
      </c>
      <c r="D137" s="58" t="s">
        <v>103</v>
      </c>
      <c r="E137" s="69" t="s">
        <v>195</v>
      </c>
      <c r="F137" s="67">
        <v>796</v>
      </c>
      <c r="G137" s="67" t="s">
        <v>15</v>
      </c>
      <c r="H137" s="68">
        <v>2</v>
      </c>
      <c r="I137" s="117">
        <v>42206501000</v>
      </c>
      <c r="J137" s="57" t="s">
        <v>30</v>
      </c>
      <c r="K137" s="62">
        <f>[1]Лист3!$F$27</f>
        <v>1749.4679999999998</v>
      </c>
      <c r="L137" s="40" t="s">
        <v>12</v>
      </c>
      <c r="M137" s="39" t="s">
        <v>12</v>
      </c>
      <c r="N137" s="79" t="s">
        <v>379</v>
      </c>
      <c r="O137" s="29"/>
      <c r="P137" s="10"/>
      <c r="Q137" s="10"/>
      <c r="R137" s="10"/>
      <c r="S137" s="10"/>
      <c r="T137" s="10"/>
      <c r="U137" s="10"/>
      <c r="V137" s="10"/>
      <c r="W137" s="10"/>
      <c r="X137" s="10"/>
      <c r="Y137" s="10"/>
      <c r="Z137" s="13"/>
    </row>
    <row r="138" spans="1:26" ht="53.25" thickBot="1">
      <c r="A138" s="118">
        <f t="shared" si="1"/>
        <v>122</v>
      </c>
      <c r="B138" s="102" t="s">
        <v>346</v>
      </c>
      <c r="C138" s="57">
        <v>2695371</v>
      </c>
      <c r="D138" s="58" t="s">
        <v>103</v>
      </c>
      <c r="E138" s="66" t="s">
        <v>196</v>
      </c>
      <c r="F138" s="68">
        <v>113</v>
      </c>
      <c r="G138" s="67" t="s">
        <v>178</v>
      </c>
      <c r="H138" s="68">
        <f>0.023+0.012+0.0055+0.055+0.011+0.21+0.2+0.2+0.021+0.02+0.06+0.08+0.01+0.16+0.1+0.23</f>
        <v>1.3975</v>
      </c>
      <c r="I138" s="117">
        <v>42206501000</v>
      </c>
      <c r="J138" s="57" t="s">
        <v>30</v>
      </c>
      <c r="K138" s="62">
        <f>[1]Лист3!$F$28</f>
        <v>12224.407649999999</v>
      </c>
      <c r="L138" s="40" t="s">
        <v>12</v>
      </c>
      <c r="M138" s="39" t="s">
        <v>12</v>
      </c>
      <c r="N138" s="79" t="s">
        <v>379</v>
      </c>
      <c r="O138" s="29"/>
      <c r="P138" s="10"/>
      <c r="Q138" s="10"/>
      <c r="R138" s="10"/>
      <c r="S138" s="10"/>
      <c r="T138" s="10"/>
      <c r="U138" s="10"/>
      <c r="V138" s="10"/>
      <c r="W138" s="10"/>
      <c r="X138" s="10"/>
      <c r="Y138" s="10"/>
      <c r="Z138" s="13"/>
    </row>
    <row r="139" spans="1:26" ht="53.25" thickBot="1">
      <c r="A139" s="118">
        <f t="shared" si="1"/>
        <v>123</v>
      </c>
      <c r="B139" s="103" t="s">
        <v>343</v>
      </c>
      <c r="C139" s="74">
        <v>2714863</v>
      </c>
      <c r="D139" s="58" t="s">
        <v>103</v>
      </c>
      <c r="E139" s="66" t="s">
        <v>197</v>
      </c>
      <c r="F139" s="68">
        <v>796</v>
      </c>
      <c r="G139" s="67" t="s">
        <v>15</v>
      </c>
      <c r="H139" s="68">
        <f>880+880</f>
        <v>1760</v>
      </c>
      <c r="I139" s="117">
        <v>42206501000</v>
      </c>
      <c r="J139" s="57" t="s">
        <v>30</v>
      </c>
      <c r="K139" s="62">
        <f>[1]Лист3!$F$29</f>
        <v>1619.9039999999998</v>
      </c>
      <c r="L139" s="40" t="s">
        <v>12</v>
      </c>
      <c r="M139" s="39" t="s">
        <v>12</v>
      </c>
      <c r="N139" s="79" t="s">
        <v>379</v>
      </c>
      <c r="O139" s="29"/>
      <c r="P139" s="10"/>
      <c r="Q139" s="10"/>
      <c r="R139" s="10"/>
      <c r="S139" s="10"/>
      <c r="T139" s="10"/>
      <c r="U139" s="10"/>
      <c r="V139" s="10"/>
      <c r="W139" s="10"/>
      <c r="X139" s="10"/>
      <c r="Y139" s="10"/>
      <c r="Z139" s="13"/>
    </row>
    <row r="140" spans="1:26" ht="53.25" thickBot="1">
      <c r="A140" s="118">
        <f t="shared" si="1"/>
        <v>124</v>
      </c>
      <c r="B140" s="103" t="s">
        <v>155</v>
      </c>
      <c r="C140" s="74">
        <v>2411228</v>
      </c>
      <c r="D140" s="58" t="s">
        <v>103</v>
      </c>
      <c r="E140" s="69" t="s">
        <v>198</v>
      </c>
      <c r="F140" s="67">
        <v>112</v>
      </c>
      <c r="G140" s="67" t="s">
        <v>199</v>
      </c>
      <c r="H140" s="68">
        <f>50+15+20</f>
        <v>85</v>
      </c>
      <c r="I140" s="117">
        <v>42206501000</v>
      </c>
      <c r="J140" s="57" t="s">
        <v>30</v>
      </c>
      <c r="K140" s="62">
        <f>[1]Лист3!$F$30</f>
        <v>2507.5</v>
      </c>
      <c r="L140" s="40" t="s">
        <v>12</v>
      </c>
      <c r="M140" s="39" t="s">
        <v>12</v>
      </c>
      <c r="N140" s="79" t="s">
        <v>379</v>
      </c>
      <c r="O140" s="29"/>
      <c r="P140" s="10"/>
      <c r="Q140" s="10"/>
      <c r="R140" s="10"/>
      <c r="S140" s="10"/>
      <c r="T140" s="10"/>
      <c r="U140" s="10"/>
      <c r="V140" s="10"/>
      <c r="W140" s="10"/>
      <c r="X140" s="10"/>
      <c r="Y140" s="10"/>
      <c r="Z140" s="13"/>
    </row>
    <row r="141" spans="1:26" ht="53.25" thickBot="1">
      <c r="A141" s="118">
        <f t="shared" si="1"/>
        <v>125</v>
      </c>
      <c r="B141" s="103" t="s">
        <v>348</v>
      </c>
      <c r="C141" s="74">
        <v>2716660</v>
      </c>
      <c r="D141" s="58" t="s">
        <v>103</v>
      </c>
      <c r="E141" s="69" t="s">
        <v>200</v>
      </c>
      <c r="F141" s="67">
        <v>796</v>
      </c>
      <c r="G141" s="67" t="s">
        <v>15</v>
      </c>
      <c r="H141" s="68">
        <v>8</v>
      </c>
      <c r="I141" s="117">
        <v>42206501000</v>
      </c>
      <c r="J141" s="57" t="s">
        <v>30</v>
      </c>
      <c r="K141" s="62">
        <f>[1]Лист3!$F$31</f>
        <v>5498.3280000000004</v>
      </c>
      <c r="L141" s="40" t="s">
        <v>12</v>
      </c>
      <c r="M141" s="39" t="s">
        <v>12</v>
      </c>
      <c r="N141" s="79" t="s">
        <v>379</v>
      </c>
      <c r="O141" s="29"/>
      <c r="P141" s="10"/>
      <c r="Q141" s="10"/>
      <c r="R141" s="10"/>
      <c r="S141" s="10"/>
      <c r="T141" s="10"/>
      <c r="U141" s="10"/>
      <c r="V141" s="10"/>
      <c r="W141" s="10"/>
      <c r="X141" s="10"/>
      <c r="Y141" s="10"/>
      <c r="Z141" s="13"/>
    </row>
    <row r="142" spans="1:26" ht="53.25" thickBot="1">
      <c r="A142" s="118">
        <f t="shared" si="1"/>
        <v>126</v>
      </c>
      <c r="B142" s="103" t="s">
        <v>348</v>
      </c>
      <c r="C142" s="74">
        <v>2912243</v>
      </c>
      <c r="D142" s="58" t="s">
        <v>103</v>
      </c>
      <c r="E142" s="70" t="s">
        <v>201</v>
      </c>
      <c r="F142" s="67">
        <v>796</v>
      </c>
      <c r="G142" s="67" t="s">
        <v>15</v>
      </c>
      <c r="H142" s="68">
        <v>12</v>
      </c>
      <c r="I142" s="117">
        <v>42206501000</v>
      </c>
      <c r="J142" s="57" t="s">
        <v>30</v>
      </c>
      <c r="K142" s="62">
        <f>[1]Лист3!$F$32</f>
        <v>89972.64</v>
      </c>
      <c r="L142" s="40" t="s">
        <v>12</v>
      </c>
      <c r="M142" s="39" t="s">
        <v>12</v>
      </c>
      <c r="N142" s="79" t="s">
        <v>379</v>
      </c>
      <c r="O142" s="29"/>
      <c r="P142" s="10"/>
      <c r="Q142" s="10"/>
      <c r="R142" s="10"/>
      <c r="S142" s="10"/>
      <c r="T142" s="10"/>
      <c r="U142" s="10"/>
      <c r="V142" s="10"/>
      <c r="W142" s="10"/>
      <c r="X142" s="10"/>
      <c r="Y142" s="10"/>
      <c r="Z142" s="13"/>
    </row>
    <row r="143" spans="1:26" ht="53.25" thickBot="1">
      <c r="A143" s="118">
        <f t="shared" si="1"/>
        <v>127</v>
      </c>
      <c r="B143" s="103" t="s">
        <v>348</v>
      </c>
      <c r="C143" s="74">
        <v>2912243</v>
      </c>
      <c r="D143" s="58" t="s">
        <v>103</v>
      </c>
      <c r="E143" s="66" t="s">
        <v>201</v>
      </c>
      <c r="F143" s="67">
        <v>796</v>
      </c>
      <c r="G143" s="68" t="s">
        <v>15</v>
      </c>
      <c r="H143" s="68">
        <f>4+1+12+1+4+1</f>
        <v>23</v>
      </c>
      <c r="I143" s="117">
        <v>42206501000</v>
      </c>
      <c r="J143" s="57" t="s">
        <v>30</v>
      </c>
      <c r="K143" s="62">
        <f>[1]Лист3!$F$33</f>
        <v>53585.758800000003</v>
      </c>
      <c r="L143" s="40" t="s">
        <v>12</v>
      </c>
      <c r="M143" s="39" t="s">
        <v>12</v>
      </c>
      <c r="N143" s="79" t="s">
        <v>379</v>
      </c>
      <c r="O143" s="29"/>
      <c r="P143" s="10"/>
      <c r="Q143" s="10"/>
      <c r="R143" s="10"/>
      <c r="S143" s="10"/>
      <c r="T143" s="10"/>
      <c r="U143" s="10"/>
      <c r="V143" s="10"/>
      <c r="W143" s="10"/>
      <c r="X143" s="10"/>
      <c r="Y143" s="10"/>
      <c r="Z143" s="13"/>
    </row>
    <row r="144" spans="1:26" ht="53.25" thickBot="1">
      <c r="A144" s="118">
        <f t="shared" si="1"/>
        <v>128</v>
      </c>
      <c r="B144" s="103" t="s">
        <v>348</v>
      </c>
      <c r="C144" s="74">
        <v>2912243</v>
      </c>
      <c r="D144" s="58" t="s">
        <v>103</v>
      </c>
      <c r="E144" s="69" t="s">
        <v>202</v>
      </c>
      <c r="F144" s="67">
        <v>796</v>
      </c>
      <c r="G144" s="67" t="s">
        <v>15</v>
      </c>
      <c r="H144" s="68">
        <f>2+3+1</f>
        <v>6</v>
      </c>
      <c r="I144" s="117">
        <v>42206501000</v>
      </c>
      <c r="J144" s="57" t="s">
        <v>30</v>
      </c>
      <c r="K144" s="62">
        <f>[1]Лист3!$F$34</f>
        <v>28724.267999999996</v>
      </c>
      <c r="L144" s="40" t="s">
        <v>12</v>
      </c>
      <c r="M144" s="39" t="s">
        <v>12</v>
      </c>
      <c r="N144" s="79" t="s">
        <v>379</v>
      </c>
      <c r="O144" s="29"/>
      <c r="P144" s="10"/>
      <c r="Q144" s="10"/>
      <c r="R144" s="10"/>
      <c r="S144" s="10"/>
      <c r="T144" s="10"/>
      <c r="U144" s="10"/>
      <c r="V144" s="10"/>
      <c r="W144" s="10"/>
      <c r="X144" s="10"/>
      <c r="Y144" s="10"/>
      <c r="Z144" s="13"/>
    </row>
    <row r="145" spans="1:26" ht="53.25" thickBot="1">
      <c r="A145" s="118">
        <f t="shared" si="1"/>
        <v>129</v>
      </c>
      <c r="B145" s="103" t="s">
        <v>348</v>
      </c>
      <c r="C145" s="74">
        <v>2912243</v>
      </c>
      <c r="D145" s="58" t="s">
        <v>103</v>
      </c>
      <c r="E145" s="69" t="s">
        <v>203</v>
      </c>
      <c r="F145" s="67">
        <v>796</v>
      </c>
      <c r="G145" s="67" t="s">
        <v>15</v>
      </c>
      <c r="H145" s="68">
        <v>2</v>
      </c>
      <c r="I145" s="117">
        <v>42206501000</v>
      </c>
      <c r="J145" s="57" t="s">
        <v>30</v>
      </c>
      <c r="K145" s="62">
        <f>[1]Лист3!$F$35</f>
        <v>37488.6</v>
      </c>
      <c r="L145" s="40" t="s">
        <v>12</v>
      </c>
      <c r="M145" s="39" t="s">
        <v>12</v>
      </c>
      <c r="N145" s="79" t="s">
        <v>379</v>
      </c>
      <c r="O145" s="29"/>
      <c r="P145" s="10"/>
      <c r="Q145" s="10"/>
      <c r="R145" s="10"/>
      <c r="S145" s="10"/>
      <c r="T145" s="10"/>
      <c r="U145" s="10"/>
      <c r="V145" s="10"/>
      <c r="W145" s="10"/>
      <c r="X145" s="10"/>
      <c r="Y145" s="10"/>
      <c r="Z145" s="13"/>
    </row>
    <row r="146" spans="1:26" ht="53.25" thickBot="1">
      <c r="A146" s="118">
        <f t="shared" si="1"/>
        <v>130</v>
      </c>
      <c r="B146" s="103" t="s">
        <v>348</v>
      </c>
      <c r="C146" s="74">
        <v>2912243</v>
      </c>
      <c r="D146" s="58" t="s">
        <v>103</v>
      </c>
      <c r="E146" s="69" t="s">
        <v>204</v>
      </c>
      <c r="F146" s="67">
        <v>796</v>
      </c>
      <c r="G146" s="67" t="s">
        <v>15</v>
      </c>
      <c r="H146" s="68">
        <v>3</v>
      </c>
      <c r="I146" s="117">
        <v>42206501000</v>
      </c>
      <c r="J146" s="57" t="s">
        <v>30</v>
      </c>
      <c r="K146" s="62">
        <f>[1]Лист3!$F$36</f>
        <v>48401.711999999992</v>
      </c>
      <c r="L146" s="40" t="s">
        <v>12</v>
      </c>
      <c r="M146" s="39" t="s">
        <v>12</v>
      </c>
      <c r="N146" s="79" t="s">
        <v>379</v>
      </c>
      <c r="O146" s="29"/>
      <c r="P146" s="10"/>
      <c r="Q146" s="10"/>
      <c r="R146" s="10"/>
      <c r="S146" s="10"/>
      <c r="T146" s="10"/>
      <c r="U146" s="10"/>
      <c r="V146" s="10"/>
      <c r="W146" s="10"/>
      <c r="X146" s="10"/>
      <c r="Y146" s="10"/>
      <c r="Z146" s="13"/>
    </row>
    <row r="147" spans="1:26" ht="53.25" thickBot="1">
      <c r="A147" s="118">
        <f t="shared" ref="A147:A210" si="2">A146+1</f>
        <v>131</v>
      </c>
      <c r="B147" s="103" t="s">
        <v>348</v>
      </c>
      <c r="C147" s="74">
        <v>2912244</v>
      </c>
      <c r="D147" s="58" t="s">
        <v>103</v>
      </c>
      <c r="E147" s="69" t="s">
        <v>205</v>
      </c>
      <c r="F147" s="67">
        <v>796</v>
      </c>
      <c r="G147" s="67" t="s">
        <v>15</v>
      </c>
      <c r="H147" s="68">
        <v>3</v>
      </c>
      <c r="I147" s="117">
        <v>42206501000</v>
      </c>
      <c r="J147" s="57" t="s">
        <v>30</v>
      </c>
      <c r="K147" s="62">
        <f>[1]Лист3!$F$37</f>
        <v>52484.039999999994</v>
      </c>
      <c r="L147" s="40" t="s">
        <v>12</v>
      </c>
      <c r="M147" s="39" t="s">
        <v>12</v>
      </c>
      <c r="N147" s="79" t="s">
        <v>379</v>
      </c>
      <c r="O147" s="29"/>
      <c r="P147" s="10"/>
      <c r="Q147" s="10"/>
      <c r="R147" s="10"/>
      <c r="S147" s="10"/>
      <c r="T147" s="10"/>
      <c r="U147" s="10"/>
      <c r="V147" s="10"/>
      <c r="W147" s="10"/>
      <c r="X147" s="10"/>
      <c r="Y147" s="10"/>
      <c r="Z147" s="13"/>
    </row>
    <row r="148" spans="1:26" ht="53.25" thickBot="1">
      <c r="A148" s="118">
        <f t="shared" si="2"/>
        <v>132</v>
      </c>
      <c r="B148" s="103" t="s">
        <v>348</v>
      </c>
      <c r="C148" s="74">
        <v>2912242</v>
      </c>
      <c r="D148" s="58" t="s">
        <v>103</v>
      </c>
      <c r="E148" s="66" t="s">
        <v>206</v>
      </c>
      <c r="F148" s="67">
        <v>796</v>
      </c>
      <c r="G148" s="68" t="s">
        <v>15</v>
      </c>
      <c r="H148" s="68">
        <f>2+3+1+1+2+2</f>
        <v>11</v>
      </c>
      <c r="I148" s="117">
        <v>42206501000</v>
      </c>
      <c r="J148" s="57" t="s">
        <v>30</v>
      </c>
      <c r="K148" s="62">
        <f>[1]Лист3!$F$38</f>
        <v>12371.237999999999</v>
      </c>
      <c r="L148" s="40" t="s">
        <v>12</v>
      </c>
      <c r="M148" s="39" t="s">
        <v>12</v>
      </c>
      <c r="N148" s="79" t="s">
        <v>379</v>
      </c>
      <c r="O148" s="29"/>
      <c r="P148" s="10"/>
      <c r="Q148" s="10"/>
      <c r="R148" s="10"/>
      <c r="S148" s="10"/>
      <c r="T148" s="10"/>
      <c r="U148" s="10"/>
      <c r="V148" s="10"/>
      <c r="W148" s="10"/>
      <c r="X148" s="10"/>
      <c r="Y148" s="10"/>
      <c r="Z148" s="13"/>
    </row>
    <row r="149" spans="1:26" ht="53.25" thickBot="1">
      <c r="A149" s="118">
        <f t="shared" si="2"/>
        <v>133</v>
      </c>
      <c r="B149" s="103" t="s">
        <v>348</v>
      </c>
      <c r="C149" s="74">
        <v>2912245</v>
      </c>
      <c r="D149" s="58" t="s">
        <v>103</v>
      </c>
      <c r="E149" s="69" t="s">
        <v>207</v>
      </c>
      <c r="F149" s="67">
        <v>796</v>
      </c>
      <c r="G149" s="67" t="s">
        <v>15</v>
      </c>
      <c r="H149" s="68">
        <v>1</v>
      </c>
      <c r="I149" s="117">
        <v>42206501000</v>
      </c>
      <c r="J149" s="57" t="s">
        <v>30</v>
      </c>
      <c r="K149" s="62">
        <f>[1]Лист3!$F$39</f>
        <v>146205.53999999998</v>
      </c>
      <c r="L149" s="40" t="s">
        <v>12</v>
      </c>
      <c r="M149" s="39" t="s">
        <v>12</v>
      </c>
      <c r="N149" s="79" t="s">
        <v>379</v>
      </c>
      <c r="O149" s="29"/>
      <c r="P149" s="10"/>
      <c r="Q149" s="10"/>
      <c r="R149" s="10"/>
      <c r="S149" s="10"/>
      <c r="T149" s="10"/>
      <c r="U149" s="10"/>
      <c r="V149" s="10"/>
      <c r="W149" s="10"/>
      <c r="X149" s="10"/>
      <c r="Y149" s="10"/>
      <c r="Z149" s="13"/>
    </row>
    <row r="150" spans="1:26" ht="53.25" thickBot="1">
      <c r="A150" s="118">
        <f t="shared" si="2"/>
        <v>134</v>
      </c>
      <c r="B150" s="103" t="s">
        <v>348</v>
      </c>
      <c r="C150" s="74">
        <v>2912242</v>
      </c>
      <c r="D150" s="58" t="s">
        <v>103</v>
      </c>
      <c r="E150" s="69" t="s">
        <v>208</v>
      </c>
      <c r="F150" s="67">
        <v>796</v>
      </c>
      <c r="G150" s="67" t="s">
        <v>15</v>
      </c>
      <c r="H150" s="68">
        <f>3+1</f>
        <v>4</v>
      </c>
      <c r="I150" s="117">
        <v>42206501000</v>
      </c>
      <c r="J150" s="57" t="s">
        <v>30</v>
      </c>
      <c r="K150" s="62">
        <f>[1]Лист3!$F$40</f>
        <v>7709.5063999999993</v>
      </c>
      <c r="L150" s="40" t="s">
        <v>12</v>
      </c>
      <c r="M150" s="39" t="s">
        <v>12</v>
      </c>
      <c r="N150" s="79" t="s">
        <v>379</v>
      </c>
      <c r="O150" s="29"/>
      <c r="P150" s="10"/>
      <c r="Q150" s="10"/>
      <c r="R150" s="10"/>
      <c r="S150" s="10"/>
      <c r="T150" s="10"/>
      <c r="U150" s="10"/>
      <c r="V150" s="10"/>
      <c r="W150" s="10"/>
      <c r="X150" s="10"/>
      <c r="Y150" s="10"/>
      <c r="Z150" s="13"/>
    </row>
    <row r="151" spans="1:26" ht="53.25" thickBot="1">
      <c r="A151" s="118">
        <f t="shared" si="2"/>
        <v>135</v>
      </c>
      <c r="B151" s="103" t="s">
        <v>349</v>
      </c>
      <c r="C151" s="74">
        <v>3134000</v>
      </c>
      <c r="D151" s="58" t="s">
        <v>103</v>
      </c>
      <c r="E151" s="72" t="s">
        <v>209</v>
      </c>
      <c r="F151" s="123" t="s">
        <v>445</v>
      </c>
      <c r="G151" s="67" t="s">
        <v>19</v>
      </c>
      <c r="H151" s="67">
        <v>30</v>
      </c>
      <c r="I151" s="117">
        <v>42206501000</v>
      </c>
      <c r="J151" s="57" t="s">
        <v>30</v>
      </c>
      <c r="K151" s="62">
        <f>[1]Лист3!$F$41</f>
        <v>59544.923999999992</v>
      </c>
      <c r="L151" s="40" t="s">
        <v>12</v>
      </c>
      <c r="M151" s="39" t="s">
        <v>12</v>
      </c>
      <c r="N151" s="79" t="s">
        <v>379</v>
      </c>
      <c r="O151" s="29"/>
      <c r="P151" s="10"/>
      <c r="Q151" s="10"/>
      <c r="R151" s="10"/>
      <c r="S151" s="10"/>
      <c r="T151" s="10"/>
      <c r="U151" s="10"/>
      <c r="V151" s="10"/>
      <c r="W151" s="10"/>
      <c r="X151" s="10"/>
      <c r="Y151" s="10"/>
      <c r="Z151" s="13"/>
    </row>
    <row r="152" spans="1:26" ht="53.25" thickBot="1">
      <c r="A152" s="118">
        <f t="shared" si="2"/>
        <v>136</v>
      </c>
      <c r="B152" s="103" t="s">
        <v>349</v>
      </c>
      <c r="C152" s="74">
        <v>3134000</v>
      </c>
      <c r="D152" s="58" t="s">
        <v>103</v>
      </c>
      <c r="E152" s="66" t="s">
        <v>210</v>
      </c>
      <c r="F152" s="123" t="s">
        <v>445</v>
      </c>
      <c r="G152" s="67" t="s">
        <v>19</v>
      </c>
      <c r="H152" s="68">
        <f>30+30</f>
        <v>60</v>
      </c>
      <c r="I152" s="117">
        <v>42206501000</v>
      </c>
      <c r="J152" s="57" t="s">
        <v>30</v>
      </c>
      <c r="K152" s="62">
        <f>[1]Лист3!$F$42</f>
        <v>25601.279999999999</v>
      </c>
      <c r="L152" s="40" t="s">
        <v>12</v>
      </c>
      <c r="M152" s="39" t="s">
        <v>12</v>
      </c>
      <c r="N152" s="79" t="s">
        <v>379</v>
      </c>
      <c r="O152" s="29"/>
      <c r="P152" s="10"/>
      <c r="Q152" s="10"/>
      <c r="R152" s="10"/>
      <c r="S152" s="10"/>
      <c r="T152" s="10"/>
      <c r="U152" s="10"/>
      <c r="V152" s="10"/>
      <c r="W152" s="10"/>
      <c r="X152" s="10"/>
      <c r="Y152" s="10"/>
      <c r="Z152" s="13"/>
    </row>
    <row r="153" spans="1:26" ht="53.25" thickBot="1">
      <c r="A153" s="118">
        <f t="shared" si="2"/>
        <v>137</v>
      </c>
      <c r="B153" s="103" t="s">
        <v>349</v>
      </c>
      <c r="C153" s="74">
        <v>3134000</v>
      </c>
      <c r="D153" s="58" t="s">
        <v>103</v>
      </c>
      <c r="E153" s="66" t="s">
        <v>211</v>
      </c>
      <c r="F153" s="123" t="s">
        <v>445</v>
      </c>
      <c r="G153" s="67" t="s">
        <v>19</v>
      </c>
      <c r="H153" s="68">
        <f>10+30+10</f>
        <v>50</v>
      </c>
      <c r="I153" s="117">
        <v>42206501000</v>
      </c>
      <c r="J153" s="57" t="s">
        <v>30</v>
      </c>
      <c r="K153" s="62">
        <f>[1]Лист3!$F$43</f>
        <v>41545.439999999995</v>
      </c>
      <c r="L153" s="40" t="s">
        <v>12</v>
      </c>
      <c r="M153" s="39" t="s">
        <v>12</v>
      </c>
      <c r="N153" s="79" t="s">
        <v>379</v>
      </c>
      <c r="O153" s="29"/>
      <c r="P153" s="10"/>
      <c r="Q153" s="10"/>
      <c r="R153" s="10"/>
      <c r="S153" s="10"/>
      <c r="T153" s="10"/>
      <c r="U153" s="10"/>
      <c r="V153" s="10"/>
      <c r="W153" s="10"/>
      <c r="X153" s="10"/>
      <c r="Y153" s="10"/>
      <c r="Z153" s="13"/>
    </row>
    <row r="154" spans="1:26" ht="53.25" thickBot="1">
      <c r="A154" s="118">
        <f t="shared" si="2"/>
        <v>138</v>
      </c>
      <c r="B154" s="103" t="s">
        <v>349</v>
      </c>
      <c r="C154" s="74">
        <v>3134000</v>
      </c>
      <c r="D154" s="58" t="s">
        <v>103</v>
      </c>
      <c r="E154" s="72" t="s">
        <v>212</v>
      </c>
      <c r="F154" s="123" t="s">
        <v>445</v>
      </c>
      <c r="G154" s="67" t="s">
        <v>19</v>
      </c>
      <c r="H154" s="68">
        <v>30</v>
      </c>
      <c r="I154" s="117">
        <v>42206501000</v>
      </c>
      <c r="J154" s="57" t="s">
        <v>30</v>
      </c>
      <c r="K154" s="62">
        <f>[1]Лист3!$F$44</f>
        <v>46124.784</v>
      </c>
      <c r="L154" s="40" t="s">
        <v>12</v>
      </c>
      <c r="M154" s="39" t="s">
        <v>12</v>
      </c>
      <c r="N154" s="79" t="s">
        <v>379</v>
      </c>
      <c r="O154" s="29"/>
      <c r="P154" s="10"/>
      <c r="Q154" s="10"/>
      <c r="R154" s="10"/>
      <c r="S154" s="10"/>
      <c r="T154" s="10"/>
      <c r="U154" s="10"/>
      <c r="V154" s="10"/>
      <c r="W154" s="10"/>
      <c r="X154" s="10"/>
      <c r="Y154" s="10"/>
      <c r="Z154" s="13"/>
    </row>
    <row r="155" spans="1:26" ht="53.25" thickBot="1">
      <c r="A155" s="118">
        <f t="shared" si="2"/>
        <v>139</v>
      </c>
      <c r="B155" s="103" t="s">
        <v>350</v>
      </c>
      <c r="C155" s="74">
        <v>2693100</v>
      </c>
      <c r="D155" s="58" t="s">
        <v>103</v>
      </c>
      <c r="E155" s="66" t="s">
        <v>213</v>
      </c>
      <c r="F155" s="68">
        <v>796</v>
      </c>
      <c r="G155" s="68" t="s">
        <v>15</v>
      </c>
      <c r="H155" s="68">
        <f>136+170+765</f>
        <v>1071</v>
      </c>
      <c r="I155" s="117">
        <v>42206501000</v>
      </c>
      <c r="J155" s="57" t="s">
        <v>30</v>
      </c>
      <c r="K155" s="62">
        <f>[1]Лист3!$F$45</f>
        <v>13383.430199999999</v>
      </c>
      <c r="L155" s="40" t="s">
        <v>12</v>
      </c>
      <c r="M155" s="39" t="s">
        <v>12</v>
      </c>
      <c r="N155" s="79" t="s">
        <v>379</v>
      </c>
      <c r="O155" s="29"/>
      <c r="P155" s="10"/>
      <c r="Q155" s="10"/>
      <c r="R155" s="10"/>
      <c r="S155" s="10"/>
      <c r="T155" s="10"/>
      <c r="U155" s="10"/>
      <c r="V155" s="10"/>
      <c r="W155" s="10"/>
      <c r="X155" s="10"/>
      <c r="Y155" s="10"/>
      <c r="Z155" s="13"/>
    </row>
    <row r="156" spans="1:26" ht="53.25" thickBot="1">
      <c r="A156" s="118">
        <f t="shared" si="2"/>
        <v>140</v>
      </c>
      <c r="B156" s="105"/>
      <c r="C156" s="74">
        <v>4521586</v>
      </c>
      <c r="D156" s="58" t="s">
        <v>103</v>
      </c>
      <c r="E156" s="66" t="s">
        <v>214</v>
      </c>
      <c r="F156" s="68">
        <v>796</v>
      </c>
      <c r="G156" s="124" t="s">
        <v>449</v>
      </c>
      <c r="H156" s="68">
        <f>3+0.2+0.1+0.1+0.1+3+0.1+0.1+3+2+2+2+1+2+2+1+1+1+1+1+2+2+2+6+6</f>
        <v>43.7</v>
      </c>
      <c r="I156" s="117">
        <v>42206501000</v>
      </c>
      <c r="J156" s="57" t="s">
        <v>30</v>
      </c>
      <c r="K156" s="62">
        <f>[1]Лист3!$F$46</f>
        <v>17474.686079999999</v>
      </c>
      <c r="L156" s="40" t="s">
        <v>12</v>
      </c>
      <c r="M156" s="39" t="s">
        <v>12</v>
      </c>
      <c r="N156" s="79" t="s">
        <v>379</v>
      </c>
      <c r="O156" s="29"/>
      <c r="P156" s="10"/>
      <c r="Q156" s="10"/>
      <c r="R156" s="10"/>
      <c r="S156" s="10"/>
      <c r="T156" s="10"/>
      <c r="U156" s="10"/>
      <c r="V156" s="10"/>
      <c r="W156" s="10"/>
      <c r="X156" s="10"/>
      <c r="Y156" s="10"/>
      <c r="Z156" s="13"/>
    </row>
    <row r="157" spans="1:26" ht="53.25" thickBot="1">
      <c r="A157" s="118">
        <f t="shared" si="2"/>
        <v>141</v>
      </c>
      <c r="B157" s="103" t="s">
        <v>351</v>
      </c>
      <c r="C157" s="74">
        <v>2897261</v>
      </c>
      <c r="D157" s="58" t="s">
        <v>103</v>
      </c>
      <c r="E157" s="69" t="s">
        <v>215</v>
      </c>
      <c r="F157" s="68">
        <v>796</v>
      </c>
      <c r="G157" s="67" t="s">
        <v>15</v>
      </c>
      <c r="H157" s="68">
        <v>2</v>
      </c>
      <c r="I157" s="117">
        <v>42206501000</v>
      </c>
      <c r="J157" s="57" t="s">
        <v>30</v>
      </c>
      <c r="K157" s="62">
        <f>[1]Лист3!$F$47</f>
        <v>12996.755999999999</v>
      </c>
      <c r="L157" s="40" t="s">
        <v>12</v>
      </c>
      <c r="M157" s="39" t="s">
        <v>12</v>
      </c>
      <c r="N157" s="79" t="s">
        <v>379</v>
      </c>
      <c r="O157" s="29"/>
      <c r="P157" s="10"/>
      <c r="Q157" s="10"/>
      <c r="R157" s="10"/>
      <c r="S157" s="10"/>
      <c r="T157" s="10"/>
      <c r="U157" s="10"/>
      <c r="V157" s="10"/>
      <c r="W157" s="10"/>
      <c r="X157" s="10"/>
      <c r="Y157" s="10"/>
      <c r="Z157" s="13"/>
    </row>
    <row r="158" spans="1:26" ht="53.25" thickBot="1">
      <c r="A158" s="118">
        <f t="shared" si="2"/>
        <v>142</v>
      </c>
      <c r="B158" s="103" t="s">
        <v>352</v>
      </c>
      <c r="C158" s="74">
        <v>3211393</v>
      </c>
      <c r="D158" s="58" t="s">
        <v>103</v>
      </c>
      <c r="E158" s="66" t="s">
        <v>216</v>
      </c>
      <c r="F158" s="68">
        <v>796</v>
      </c>
      <c r="G158" s="67" t="s">
        <v>15</v>
      </c>
      <c r="H158" s="68">
        <f>20+20</f>
        <v>40</v>
      </c>
      <c r="I158" s="117">
        <v>42206501000</v>
      </c>
      <c r="J158" s="57" t="s">
        <v>30</v>
      </c>
      <c r="K158" s="62">
        <f>[1]Лист3!$F$48</f>
        <v>998.28</v>
      </c>
      <c r="L158" s="40" t="s">
        <v>12</v>
      </c>
      <c r="M158" s="39" t="s">
        <v>12</v>
      </c>
      <c r="N158" s="79" t="s">
        <v>379</v>
      </c>
      <c r="O158" s="29"/>
      <c r="P158" s="30"/>
      <c r="Q158" s="30"/>
      <c r="R158" s="30"/>
      <c r="S158" s="30"/>
      <c r="T158" s="30"/>
      <c r="U158" s="30"/>
      <c r="V158" s="30"/>
      <c r="W158" s="30"/>
      <c r="X158" s="30"/>
      <c r="Y158" s="30"/>
    </row>
    <row r="159" spans="1:26" ht="53.25" thickBot="1">
      <c r="A159" s="118">
        <f t="shared" si="2"/>
        <v>143</v>
      </c>
      <c r="B159" s="103" t="s">
        <v>352</v>
      </c>
      <c r="C159" s="74">
        <v>3211393</v>
      </c>
      <c r="D159" s="58" t="s">
        <v>103</v>
      </c>
      <c r="E159" s="66" t="s">
        <v>217</v>
      </c>
      <c r="F159" s="68">
        <v>796</v>
      </c>
      <c r="G159" s="67" t="s">
        <v>15</v>
      </c>
      <c r="H159" s="68">
        <f>20+20</f>
        <v>40</v>
      </c>
      <c r="I159" s="117">
        <v>42206501000</v>
      </c>
      <c r="J159" s="57" t="s">
        <v>30</v>
      </c>
      <c r="K159" s="62">
        <f>[1]Лист3!$F$49</f>
        <v>313.40799999999996</v>
      </c>
      <c r="L159" s="40" t="s">
        <v>12</v>
      </c>
      <c r="M159" s="39" t="s">
        <v>12</v>
      </c>
      <c r="N159" s="79" t="s">
        <v>379</v>
      </c>
      <c r="O159" s="29"/>
      <c r="P159" s="10"/>
      <c r="Q159" s="10"/>
      <c r="R159" s="10"/>
      <c r="S159" s="10"/>
      <c r="T159" s="10"/>
      <c r="U159" s="10"/>
      <c r="V159" s="10"/>
      <c r="W159" s="10"/>
      <c r="X159" s="10"/>
      <c r="Y159" s="10"/>
      <c r="Z159" s="13"/>
    </row>
    <row r="160" spans="1:26" ht="53.25" thickBot="1">
      <c r="A160" s="118">
        <f t="shared" si="2"/>
        <v>144</v>
      </c>
      <c r="B160" s="103" t="s">
        <v>352</v>
      </c>
      <c r="C160" s="74">
        <v>3211393</v>
      </c>
      <c r="D160" s="58" t="s">
        <v>103</v>
      </c>
      <c r="E160" s="66" t="s">
        <v>217</v>
      </c>
      <c r="F160" s="68">
        <v>796</v>
      </c>
      <c r="G160" s="67" t="s">
        <v>15</v>
      </c>
      <c r="H160" s="68">
        <v>20</v>
      </c>
      <c r="I160" s="117">
        <v>42206501000</v>
      </c>
      <c r="J160" s="57" t="s">
        <v>30</v>
      </c>
      <c r="K160" s="62">
        <f>[1]Лист3!$F$50</f>
        <v>450.28799999999995</v>
      </c>
      <c r="L160" s="40" t="s">
        <v>12</v>
      </c>
      <c r="M160" s="39" t="s">
        <v>12</v>
      </c>
      <c r="N160" s="79" t="s">
        <v>379</v>
      </c>
      <c r="O160" s="29"/>
    </row>
    <row r="161" spans="1:26" ht="53.25" thickBot="1">
      <c r="A161" s="118">
        <f t="shared" si="2"/>
        <v>145</v>
      </c>
      <c r="B161" s="103" t="s">
        <v>352</v>
      </c>
      <c r="C161" s="74">
        <v>3211393</v>
      </c>
      <c r="D161" s="58" t="s">
        <v>103</v>
      </c>
      <c r="E161" s="66" t="s">
        <v>218</v>
      </c>
      <c r="F161" s="68">
        <v>796</v>
      </c>
      <c r="G161" s="67" t="s">
        <v>15</v>
      </c>
      <c r="H161" s="68">
        <f>560+560</f>
        <v>1120</v>
      </c>
      <c r="I161" s="117">
        <v>42206501000</v>
      </c>
      <c r="J161" s="57" t="s">
        <v>30</v>
      </c>
      <c r="K161" s="62">
        <f>[1]Лист3!$F$51</f>
        <v>951.55199999999991</v>
      </c>
      <c r="L161" s="40" t="s">
        <v>12</v>
      </c>
      <c r="M161" s="39" t="s">
        <v>12</v>
      </c>
      <c r="N161" s="79" t="s">
        <v>379</v>
      </c>
      <c r="O161" s="29"/>
    </row>
    <row r="162" spans="1:26" ht="53.25" thickBot="1">
      <c r="A162" s="118">
        <f t="shared" si="2"/>
        <v>146</v>
      </c>
      <c r="B162" s="103" t="s">
        <v>352</v>
      </c>
      <c r="C162" s="74">
        <v>3211393</v>
      </c>
      <c r="D162" s="58" t="s">
        <v>103</v>
      </c>
      <c r="E162" s="66" t="s">
        <v>219</v>
      </c>
      <c r="F162" s="68">
        <v>796</v>
      </c>
      <c r="G162" s="67" t="s">
        <v>15</v>
      </c>
      <c r="H162" s="68">
        <f>320+320</f>
        <v>640</v>
      </c>
      <c r="I162" s="117">
        <v>42206501000</v>
      </c>
      <c r="J162" s="57" t="s">
        <v>30</v>
      </c>
      <c r="K162" s="62">
        <f>[1]Лист3!$F$52</f>
        <v>777.85599999999999</v>
      </c>
      <c r="L162" s="40" t="s">
        <v>12</v>
      </c>
      <c r="M162" s="39" t="s">
        <v>12</v>
      </c>
      <c r="N162" s="79" t="s">
        <v>379</v>
      </c>
      <c r="O162" s="29"/>
    </row>
    <row r="163" spans="1:26" ht="53.25" thickBot="1">
      <c r="A163" s="118">
        <f t="shared" si="2"/>
        <v>147</v>
      </c>
      <c r="B163" s="103" t="s">
        <v>340</v>
      </c>
      <c r="C163" s="74">
        <v>2897654</v>
      </c>
      <c r="D163" s="58" t="s">
        <v>103</v>
      </c>
      <c r="E163" s="69" t="s">
        <v>353</v>
      </c>
      <c r="F163" s="68">
        <v>796</v>
      </c>
      <c r="G163" s="67" t="s">
        <v>15</v>
      </c>
      <c r="H163" s="68">
        <f>10+2+1+1+1+1+20</f>
        <v>36</v>
      </c>
      <c r="I163" s="117">
        <v>42206501000</v>
      </c>
      <c r="J163" s="57" t="s">
        <v>30</v>
      </c>
      <c r="K163" s="62">
        <f>[1]Лист3!$F$53</f>
        <v>215934.33599999998</v>
      </c>
      <c r="L163" s="40" t="s">
        <v>12</v>
      </c>
      <c r="M163" s="39" t="s">
        <v>12</v>
      </c>
      <c r="N163" s="79" t="s">
        <v>379</v>
      </c>
      <c r="O163" s="29"/>
    </row>
    <row r="164" spans="1:26" ht="53.25" thickBot="1">
      <c r="A164" s="118">
        <f t="shared" si="2"/>
        <v>148</v>
      </c>
      <c r="B164" s="104" t="s">
        <v>347</v>
      </c>
      <c r="C164" s="57">
        <v>2695020</v>
      </c>
      <c r="D164" s="58" t="s">
        <v>103</v>
      </c>
      <c r="E164" s="69" t="s">
        <v>220</v>
      </c>
      <c r="F164" s="68">
        <v>796</v>
      </c>
      <c r="G164" s="67" t="s">
        <v>15</v>
      </c>
      <c r="H164" s="68">
        <f>26+5+4+2+4+12+2+2+4+2</f>
        <v>63</v>
      </c>
      <c r="I164" s="117">
        <v>42206501000</v>
      </c>
      <c r="J164" s="57" t="s">
        <v>30</v>
      </c>
      <c r="K164" s="62">
        <f>[1]Лист3!$F$54</f>
        <v>181069.93799999997</v>
      </c>
      <c r="L164" s="40" t="s">
        <v>12</v>
      </c>
      <c r="M164" s="39" t="s">
        <v>12</v>
      </c>
      <c r="N164" s="79" t="s">
        <v>379</v>
      </c>
      <c r="O164" s="29"/>
    </row>
    <row r="165" spans="1:26" ht="53.25" thickBot="1">
      <c r="A165" s="118">
        <f t="shared" si="2"/>
        <v>149</v>
      </c>
      <c r="B165" s="104" t="s">
        <v>347</v>
      </c>
      <c r="C165" s="57">
        <v>2695020</v>
      </c>
      <c r="D165" s="58" t="s">
        <v>103</v>
      </c>
      <c r="E165" s="66" t="s">
        <v>221</v>
      </c>
      <c r="F165" s="68">
        <v>796</v>
      </c>
      <c r="G165" s="68" t="s">
        <v>15</v>
      </c>
      <c r="H165" s="68">
        <f>2+6</f>
        <v>8</v>
      </c>
      <c r="I165" s="117">
        <v>42206501000</v>
      </c>
      <c r="J165" s="57" t="s">
        <v>30</v>
      </c>
      <c r="K165" s="62">
        <f>[1]Лист3!$F$55</f>
        <v>36988.752</v>
      </c>
      <c r="L165" s="40" t="s">
        <v>12</v>
      </c>
      <c r="M165" s="39" t="s">
        <v>12</v>
      </c>
      <c r="N165" s="79" t="s">
        <v>379</v>
      </c>
      <c r="O165" s="29"/>
    </row>
    <row r="166" spans="1:26" ht="53.25" thickBot="1">
      <c r="A166" s="118">
        <f t="shared" si="2"/>
        <v>150</v>
      </c>
      <c r="B166" s="104" t="s">
        <v>347</v>
      </c>
      <c r="C166" s="57">
        <v>2695020</v>
      </c>
      <c r="D166" s="58" t="s">
        <v>103</v>
      </c>
      <c r="E166" s="66" t="s">
        <v>222</v>
      </c>
      <c r="F166" s="68">
        <v>796</v>
      </c>
      <c r="G166" s="67" t="s">
        <v>15</v>
      </c>
      <c r="H166" s="68">
        <v>2</v>
      </c>
      <c r="I166" s="117">
        <v>42206501000</v>
      </c>
      <c r="J166" s="57" t="s">
        <v>30</v>
      </c>
      <c r="K166" s="62">
        <f>[1]Лист3!$F$56</f>
        <v>16744.907999999999</v>
      </c>
      <c r="L166" s="40" t="s">
        <v>12</v>
      </c>
      <c r="M166" s="39" t="s">
        <v>12</v>
      </c>
      <c r="N166" s="79" t="s">
        <v>379</v>
      </c>
      <c r="O166" s="29"/>
    </row>
    <row r="167" spans="1:26" ht="53.25" thickBot="1">
      <c r="A167" s="118">
        <f t="shared" si="2"/>
        <v>151</v>
      </c>
      <c r="B167" s="103" t="s">
        <v>14</v>
      </c>
      <c r="C167" s="74">
        <v>2915501</v>
      </c>
      <c r="D167" s="58" t="s">
        <v>103</v>
      </c>
      <c r="E167" s="71" t="s">
        <v>223</v>
      </c>
      <c r="F167" s="68">
        <v>796</v>
      </c>
      <c r="G167" s="67" t="s">
        <v>15</v>
      </c>
      <c r="H167" s="68">
        <v>1</v>
      </c>
      <c r="I167" s="117">
        <v>42206501000</v>
      </c>
      <c r="J167" s="57" t="s">
        <v>30</v>
      </c>
      <c r="K167" s="62">
        <f>[1]Лист3!$F$57</f>
        <v>3748.8599999999997</v>
      </c>
      <c r="L167" s="40" t="s">
        <v>12</v>
      </c>
      <c r="M167" s="39" t="s">
        <v>12</v>
      </c>
      <c r="N167" s="79" t="s">
        <v>379</v>
      </c>
      <c r="O167" s="29"/>
    </row>
    <row r="168" spans="1:26" s="31" customFormat="1" ht="53.25" thickBot="1">
      <c r="A168" s="118">
        <f t="shared" si="2"/>
        <v>152</v>
      </c>
      <c r="B168" s="102" t="s">
        <v>346</v>
      </c>
      <c r="C168" s="57">
        <v>5110453</v>
      </c>
      <c r="D168" s="58" t="s">
        <v>103</v>
      </c>
      <c r="E168" s="66" t="s">
        <v>224</v>
      </c>
      <c r="F168" s="68">
        <v>796</v>
      </c>
      <c r="G168" s="67" t="s">
        <v>15</v>
      </c>
      <c r="H168" s="68">
        <v>1</v>
      </c>
      <c r="I168" s="117">
        <v>42206501000</v>
      </c>
      <c r="J168" s="57" t="s">
        <v>30</v>
      </c>
      <c r="K168" s="62">
        <f>[1]Лист3!$F$58</f>
        <v>2360</v>
      </c>
      <c r="L168" s="40" t="s">
        <v>12</v>
      </c>
      <c r="M168" s="39" t="s">
        <v>12</v>
      </c>
      <c r="N168" s="79" t="s">
        <v>379</v>
      </c>
      <c r="O168" s="29"/>
      <c r="P168" s="24"/>
      <c r="Q168" s="24"/>
      <c r="R168" s="24"/>
      <c r="S168" s="24"/>
      <c r="T168" s="24"/>
      <c r="U168" s="24"/>
      <c r="V168" s="24"/>
      <c r="W168" s="24"/>
      <c r="X168" s="24"/>
      <c r="Y168" s="24"/>
      <c r="Z168" s="25"/>
    </row>
    <row r="169" spans="1:26" s="26" customFormat="1" ht="53.25" thickBot="1">
      <c r="A169" s="118">
        <f t="shared" si="2"/>
        <v>153</v>
      </c>
      <c r="B169" s="102" t="s">
        <v>354</v>
      </c>
      <c r="C169" s="9">
        <v>4540291</v>
      </c>
      <c r="D169" s="58" t="s">
        <v>103</v>
      </c>
      <c r="E169" s="70" t="s">
        <v>225</v>
      </c>
      <c r="F169" s="120">
        <v>166</v>
      </c>
      <c r="G169" s="67" t="s">
        <v>176</v>
      </c>
      <c r="H169" s="68">
        <f>12+12+1.5</f>
        <v>25.5</v>
      </c>
      <c r="I169" s="117">
        <v>42206501000</v>
      </c>
      <c r="J169" s="57" t="s">
        <v>30</v>
      </c>
      <c r="K169" s="62">
        <f>[1]Лист3!$F$59</f>
        <v>1895.6699999999998</v>
      </c>
      <c r="L169" s="40" t="s">
        <v>12</v>
      </c>
      <c r="M169" s="39" t="s">
        <v>12</v>
      </c>
      <c r="N169" s="79" t="s">
        <v>379</v>
      </c>
      <c r="O169" s="29"/>
      <c r="P169" s="24"/>
      <c r="Q169" s="24"/>
      <c r="R169" s="24"/>
      <c r="S169" s="24"/>
      <c r="T169" s="24"/>
      <c r="U169" s="24"/>
      <c r="V169" s="24"/>
      <c r="W169" s="24"/>
      <c r="X169" s="24"/>
      <c r="Y169" s="24"/>
      <c r="Z169" s="25"/>
    </row>
    <row r="170" spans="1:26" ht="53.25" thickBot="1">
      <c r="A170" s="118">
        <f t="shared" si="2"/>
        <v>154</v>
      </c>
      <c r="B170" s="103" t="s">
        <v>355</v>
      </c>
      <c r="C170" s="74">
        <v>2895000</v>
      </c>
      <c r="D170" s="58" t="s">
        <v>103</v>
      </c>
      <c r="E170" s="69" t="s">
        <v>226</v>
      </c>
      <c r="F170" s="67">
        <v>168</v>
      </c>
      <c r="G170" s="67" t="s">
        <v>17</v>
      </c>
      <c r="H170" s="68">
        <f>0.06+0.048+0.05</f>
        <v>0.158</v>
      </c>
      <c r="I170" s="117">
        <v>42206501000</v>
      </c>
      <c r="J170" s="57" t="s">
        <v>30</v>
      </c>
      <c r="K170" s="62">
        <f>[1]Лист3!$F$60</f>
        <v>5386.9518686399988</v>
      </c>
      <c r="L170" s="40" t="s">
        <v>12</v>
      </c>
      <c r="M170" s="39" t="s">
        <v>12</v>
      </c>
      <c r="N170" s="79" t="s">
        <v>379</v>
      </c>
      <c r="O170" s="29"/>
      <c r="P170" s="10"/>
      <c r="Q170" s="10"/>
      <c r="R170" s="10"/>
      <c r="S170" s="10"/>
      <c r="T170" s="10"/>
      <c r="U170" s="10"/>
      <c r="V170" s="10"/>
      <c r="W170" s="10"/>
      <c r="X170" s="10"/>
      <c r="Y170" s="10"/>
      <c r="Z170" s="13"/>
    </row>
    <row r="171" spans="1:26" ht="53.25" thickBot="1">
      <c r="A171" s="118">
        <f t="shared" si="2"/>
        <v>155</v>
      </c>
      <c r="B171" s="103" t="s">
        <v>355</v>
      </c>
      <c r="C171" s="74">
        <v>2895000</v>
      </c>
      <c r="D171" s="58" t="s">
        <v>103</v>
      </c>
      <c r="E171" s="69" t="s">
        <v>227</v>
      </c>
      <c r="F171" s="67">
        <v>168</v>
      </c>
      <c r="G171" s="67" t="s">
        <v>17</v>
      </c>
      <c r="H171" s="68">
        <v>0.15</v>
      </c>
      <c r="I171" s="117">
        <v>42206501000</v>
      </c>
      <c r="J171" s="57" t="s">
        <v>30</v>
      </c>
      <c r="K171" s="62">
        <f>[1]Лист3!$F$61</f>
        <v>4783.4250000000002</v>
      </c>
      <c r="L171" s="40" t="s">
        <v>12</v>
      </c>
      <c r="M171" s="39" t="s">
        <v>12</v>
      </c>
      <c r="N171" s="79" t="s">
        <v>379</v>
      </c>
      <c r="O171" s="29"/>
      <c r="P171" s="10"/>
      <c r="Q171" s="10"/>
      <c r="R171" s="10"/>
      <c r="S171" s="10"/>
      <c r="T171" s="10"/>
      <c r="U171" s="10"/>
      <c r="V171" s="10"/>
      <c r="W171" s="10"/>
      <c r="X171" s="10"/>
      <c r="Y171" s="10"/>
      <c r="Z171" s="13"/>
    </row>
    <row r="172" spans="1:26" ht="53.25" thickBot="1">
      <c r="A172" s="118">
        <f t="shared" si="2"/>
        <v>156</v>
      </c>
      <c r="B172" s="103" t="s">
        <v>355</v>
      </c>
      <c r="C172" s="74">
        <v>2895000</v>
      </c>
      <c r="D172" s="58" t="s">
        <v>103</v>
      </c>
      <c r="E172" s="71" t="s">
        <v>228</v>
      </c>
      <c r="F172" s="121">
        <v>168</v>
      </c>
      <c r="G172" s="67" t="s">
        <v>17</v>
      </c>
      <c r="H172" s="68">
        <v>0.111</v>
      </c>
      <c r="I172" s="117">
        <v>42206501000</v>
      </c>
      <c r="J172" s="57" t="s">
        <v>30</v>
      </c>
      <c r="K172" s="62">
        <f>[1]Лист3!$F$62</f>
        <v>3592.5325379999999</v>
      </c>
      <c r="L172" s="40" t="s">
        <v>12</v>
      </c>
      <c r="M172" s="39" t="s">
        <v>12</v>
      </c>
      <c r="N172" s="79" t="s">
        <v>379</v>
      </c>
      <c r="O172" s="29"/>
      <c r="P172" s="10"/>
      <c r="Q172" s="10"/>
      <c r="R172" s="10"/>
      <c r="S172" s="10"/>
      <c r="T172" s="10"/>
      <c r="U172" s="10"/>
      <c r="V172" s="10"/>
      <c r="W172" s="10"/>
      <c r="X172" s="10"/>
      <c r="Y172" s="10"/>
      <c r="Z172" s="13"/>
    </row>
    <row r="173" spans="1:26" ht="53.25" thickBot="1">
      <c r="A173" s="118">
        <f t="shared" si="2"/>
        <v>157</v>
      </c>
      <c r="B173" s="103" t="s">
        <v>356</v>
      </c>
      <c r="C173" s="74">
        <v>2617020</v>
      </c>
      <c r="D173" s="58" t="s">
        <v>103</v>
      </c>
      <c r="E173" s="66" t="s">
        <v>229</v>
      </c>
      <c r="F173" s="68">
        <v>796</v>
      </c>
      <c r="G173" s="67" t="s">
        <v>15</v>
      </c>
      <c r="H173" s="68">
        <v>2</v>
      </c>
      <c r="I173" s="117">
        <v>42206501000</v>
      </c>
      <c r="J173" s="57" t="s">
        <v>30</v>
      </c>
      <c r="K173" s="62">
        <f>[1]Лист3!$F$63</f>
        <v>722.46679999999992</v>
      </c>
      <c r="L173" s="40" t="s">
        <v>12</v>
      </c>
      <c r="M173" s="39" t="s">
        <v>12</v>
      </c>
      <c r="N173" s="79" t="s">
        <v>379</v>
      </c>
      <c r="O173" s="29"/>
      <c r="P173" s="30"/>
      <c r="Q173" s="30"/>
      <c r="R173" s="30"/>
      <c r="S173" s="30"/>
      <c r="T173" s="30"/>
      <c r="U173" s="30"/>
      <c r="V173" s="30"/>
      <c r="W173" s="30"/>
      <c r="X173" s="30"/>
      <c r="Y173" s="30"/>
    </row>
    <row r="174" spans="1:26" ht="53.25" thickBot="1">
      <c r="A174" s="118">
        <f t="shared" si="2"/>
        <v>158</v>
      </c>
      <c r="B174" s="103" t="s">
        <v>357</v>
      </c>
      <c r="C174" s="74">
        <v>2712140</v>
      </c>
      <c r="D174" s="58" t="s">
        <v>103</v>
      </c>
      <c r="E174" s="69" t="s">
        <v>230</v>
      </c>
      <c r="F174" s="67">
        <v>168</v>
      </c>
      <c r="G174" s="67" t="s">
        <v>17</v>
      </c>
      <c r="H174" s="68">
        <v>1.4</v>
      </c>
      <c r="I174" s="117">
        <v>42206501000</v>
      </c>
      <c r="J174" s="57" t="s">
        <v>30</v>
      </c>
      <c r="K174" s="62">
        <f>[1]Лист3!$F$64</f>
        <v>54233.507999999994</v>
      </c>
      <c r="L174" s="40" t="s">
        <v>12</v>
      </c>
      <c r="M174" s="39" t="s">
        <v>12</v>
      </c>
      <c r="N174" s="79" t="s">
        <v>379</v>
      </c>
      <c r="O174" s="29"/>
      <c r="P174" s="30"/>
      <c r="Q174" s="30"/>
      <c r="R174" s="30"/>
      <c r="S174" s="30"/>
      <c r="T174" s="30"/>
      <c r="U174" s="30"/>
      <c r="V174" s="30"/>
      <c r="W174" s="30"/>
      <c r="X174" s="30"/>
      <c r="Y174" s="30"/>
    </row>
    <row r="175" spans="1:26" ht="53.25" thickBot="1">
      <c r="A175" s="118">
        <f t="shared" si="2"/>
        <v>159</v>
      </c>
      <c r="B175" s="103" t="s">
        <v>357</v>
      </c>
      <c r="C175" s="74">
        <v>2712140</v>
      </c>
      <c r="D175" s="58" t="s">
        <v>103</v>
      </c>
      <c r="E175" s="69" t="s">
        <v>231</v>
      </c>
      <c r="F175" s="67">
        <v>168</v>
      </c>
      <c r="G175" s="67" t="s">
        <v>17</v>
      </c>
      <c r="H175" s="68">
        <f>0.356+0.5</f>
        <v>0.85599999999999998</v>
      </c>
      <c r="I175" s="117">
        <v>42206501000</v>
      </c>
      <c r="J175" s="57" t="s">
        <v>30</v>
      </c>
      <c r="K175" s="62">
        <f>[1]Лист3!$F$65</f>
        <v>27704.575247999994</v>
      </c>
      <c r="L175" s="40" t="s">
        <v>12</v>
      </c>
      <c r="M175" s="39" t="s">
        <v>12</v>
      </c>
      <c r="N175" s="79" t="s">
        <v>379</v>
      </c>
      <c r="O175" s="29"/>
      <c r="P175" s="30"/>
      <c r="Q175" s="30"/>
      <c r="R175" s="30"/>
      <c r="S175" s="30"/>
      <c r="T175" s="30"/>
      <c r="U175" s="30"/>
      <c r="V175" s="30"/>
      <c r="W175" s="30"/>
      <c r="X175" s="30"/>
      <c r="Y175" s="30"/>
    </row>
    <row r="176" spans="1:26" ht="53.25" thickBot="1">
      <c r="A176" s="118">
        <f t="shared" si="2"/>
        <v>160</v>
      </c>
      <c r="B176" s="103" t="s">
        <v>357</v>
      </c>
      <c r="C176" s="74">
        <v>2712140</v>
      </c>
      <c r="D176" s="58" t="s">
        <v>103</v>
      </c>
      <c r="E176" s="69" t="s">
        <v>232</v>
      </c>
      <c r="F176" s="67">
        <v>168</v>
      </c>
      <c r="G176" s="67" t="s">
        <v>17</v>
      </c>
      <c r="H176" s="68">
        <v>0.2</v>
      </c>
      <c r="I176" s="117">
        <v>42206501000</v>
      </c>
      <c r="J176" s="57" t="s">
        <v>30</v>
      </c>
      <c r="K176" s="62">
        <f>[1]Лист3!$F$66</f>
        <v>6323.0772000000006</v>
      </c>
      <c r="L176" s="40" t="s">
        <v>12</v>
      </c>
      <c r="M176" s="39" t="s">
        <v>12</v>
      </c>
      <c r="N176" s="79" t="s">
        <v>379</v>
      </c>
      <c r="O176" s="29"/>
    </row>
    <row r="177" spans="1:26" ht="53.25" thickBot="1">
      <c r="A177" s="118">
        <f t="shared" si="2"/>
        <v>161</v>
      </c>
      <c r="B177" s="103" t="s">
        <v>357</v>
      </c>
      <c r="C177" s="74">
        <v>2712140</v>
      </c>
      <c r="D177" s="58" t="s">
        <v>103</v>
      </c>
      <c r="E177" s="70" t="s">
        <v>233</v>
      </c>
      <c r="F177" s="67">
        <v>168</v>
      </c>
      <c r="G177" s="67" t="s">
        <v>17</v>
      </c>
      <c r="H177" s="68">
        <v>0.75</v>
      </c>
      <c r="I177" s="117">
        <v>42206501000</v>
      </c>
      <c r="J177" s="57" t="s">
        <v>30</v>
      </c>
      <c r="K177" s="62">
        <f>[1]Лист3!$F$67</f>
        <v>22567.5</v>
      </c>
      <c r="L177" s="40" t="s">
        <v>12</v>
      </c>
      <c r="M177" s="39" t="s">
        <v>12</v>
      </c>
      <c r="N177" s="79" t="s">
        <v>379</v>
      </c>
      <c r="O177" s="29"/>
    </row>
    <row r="178" spans="1:26" ht="53.25" thickBot="1">
      <c r="A178" s="118">
        <f t="shared" si="2"/>
        <v>162</v>
      </c>
      <c r="B178" s="103" t="s">
        <v>357</v>
      </c>
      <c r="C178" s="74">
        <v>2712140</v>
      </c>
      <c r="D178" s="58" t="s">
        <v>103</v>
      </c>
      <c r="E178" s="66" t="s">
        <v>234</v>
      </c>
      <c r="F178" s="67">
        <v>168</v>
      </c>
      <c r="G178" s="67" t="s">
        <v>17</v>
      </c>
      <c r="H178" s="68">
        <f>0.11+0.05</f>
        <v>0.16</v>
      </c>
      <c r="I178" s="117">
        <v>42206501000</v>
      </c>
      <c r="J178" s="57" t="s">
        <v>30</v>
      </c>
      <c r="K178" s="62">
        <f>[1]Лист3!$F$68</f>
        <v>5098.4495999999999</v>
      </c>
      <c r="L178" s="40" t="s">
        <v>12</v>
      </c>
      <c r="M178" s="39" t="s">
        <v>12</v>
      </c>
      <c r="N178" s="79" t="s">
        <v>379</v>
      </c>
      <c r="O178" s="29"/>
    </row>
    <row r="179" spans="1:26" ht="53.25" thickBot="1">
      <c r="A179" s="118">
        <f t="shared" si="2"/>
        <v>163</v>
      </c>
      <c r="B179" s="103" t="s">
        <v>357</v>
      </c>
      <c r="C179" s="74">
        <v>2712140</v>
      </c>
      <c r="D179" s="58" t="s">
        <v>103</v>
      </c>
      <c r="E179" s="69" t="s">
        <v>235</v>
      </c>
      <c r="F179" s="67">
        <v>168</v>
      </c>
      <c r="G179" s="67" t="s">
        <v>17</v>
      </c>
      <c r="H179" s="68">
        <f>0.9+1.52+1</f>
        <v>3.42</v>
      </c>
      <c r="I179" s="117">
        <v>42206501000</v>
      </c>
      <c r="J179" s="57" t="s">
        <v>30</v>
      </c>
      <c r="K179" s="62">
        <f>[1]Лист3!$F$69</f>
        <v>727554.11040000001</v>
      </c>
      <c r="L179" s="40" t="s">
        <v>12</v>
      </c>
      <c r="M179" s="39" t="s">
        <v>12</v>
      </c>
      <c r="N179" s="79" t="s">
        <v>379</v>
      </c>
      <c r="O179" s="29"/>
    </row>
    <row r="180" spans="1:26" ht="53.25" thickBot="1">
      <c r="A180" s="118">
        <f t="shared" si="2"/>
        <v>164</v>
      </c>
      <c r="B180" s="103" t="s">
        <v>357</v>
      </c>
      <c r="C180" s="74">
        <v>2712140</v>
      </c>
      <c r="D180" s="58" t="s">
        <v>103</v>
      </c>
      <c r="E180" s="66" t="s">
        <v>236</v>
      </c>
      <c r="F180" s="67">
        <v>168</v>
      </c>
      <c r="G180" s="68" t="s">
        <v>17</v>
      </c>
      <c r="H180" s="68">
        <v>0.26</v>
      </c>
      <c r="I180" s="117">
        <v>42206501000</v>
      </c>
      <c r="J180" s="57" t="s">
        <v>30</v>
      </c>
      <c r="K180" s="62">
        <f>[1]Лист3!$F$70</f>
        <v>8512.1659999999993</v>
      </c>
      <c r="L180" s="40" t="s">
        <v>12</v>
      </c>
      <c r="M180" s="39" t="s">
        <v>12</v>
      </c>
      <c r="N180" s="79" t="s">
        <v>379</v>
      </c>
      <c r="O180" s="29"/>
      <c r="P180" s="10"/>
      <c r="Q180" s="10"/>
      <c r="R180" s="10"/>
      <c r="S180" s="10"/>
      <c r="T180" s="10"/>
      <c r="U180" s="10"/>
      <c r="V180" s="10"/>
      <c r="W180" s="10"/>
      <c r="X180" s="10"/>
      <c r="Y180" s="10"/>
      <c r="Z180" s="13"/>
    </row>
    <row r="181" spans="1:26" ht="53.25" thickBot="1">
      <c r="A181" s="118">
        <f t="shared" si="2"/>
        <v>165</v>
      </c>
      <c r="B181" s="106" t="s">
        <v>345</v>
      </c>
      <c r="C181" s="75">
        <v>2917351</v>
      </c>
      <c r="D181" s="58" t="s">
        <v>103</v>
      </c>
      <c r="E181" s="69" t="s">
        <v>237</v>
      </c>
      <c r="F181" s="67">
        <v>796</v>
      </c>
      <c r="G181" s="67" t="s">
        <v>15</v>
      </c>
      <c r="H181" s="68">
        <v>9</v>
      </c>
      <c r="I181" s="117">
        <v>42206501000</v>
      </c>
      <c r="J181" s="57" t="s">
        <v>30</v>
      </c>
      <c r="K181" s="62">
        <f>[1]Лист3!$F$71</f>
        <v>4800.24</v>
      </c>
      <c r="L181" s="40" t="s">
        <v>12</v>
      </c>
      <c r="M181" s="39" t="s">
        <v>12</v>
      </c>
      <c r="N181" s="79" t="s">
        <v>379</v>
      </c>
      <c r="O181" s="29"/>
    </row>
    <row r="182" spans="1:26" ht="53.25" thickBot="1">
      <c r="A182" s="118">
        <f t="shared" si="2"/>
        <v>166</v>
      </c>
      <c r="B182" s="104" t="s">
        <v>16</v>
      </c>
      <c r="C182" s="57">
        <v>2917359</v>
      </c>
      <c r="D182" s="58" t="s">
        <v>103</v>
      </c>
      <c r="E182" s="66" t="s">
        <v>238</v>
      </c>
      <c r="F182" s="67">
        <v>796</v>
      </c>
      <c r="G182" s="67" t="s">
        <v>15</v>
      </c>
      <c r="H182" s="68">
        <v>10</v>
      </c>
      <c r="I182" s="117">
        <v>42206501000</v>
      </c>
      <c r="J182" s="57" t="s">
        <v>30</v>
      </c>
      <c r="K182" s="62">
        <f>[1]Лист3!$F$72</f>
        <v>10071.937199999998</v>
      </c>
      <c r="L182" s="40" t="s">
        <v>12</v>
      </c>
      <c r="M182" s="39" t="s">
        <v>12</v>
      </c>
      <c r="N182" s="79" t="s">
        <v>379</v>
      </c>
      <c r="O182" s="29"/>
    </row>
    <row r="183" spans="1:26" ht="53.25" thickBot="1">
      <c r="A183" s="118">
        <f t="shared" si="2"/>
        <v>167</v>
      </c>
      <c r="B183" s="104" t="s">
        <v>16</v>
      </c>
      <c r="C183" s="57">
        <v>2917359</v>
      </c>
      <c r="D183" s="58" t="s">
        <v>103</v>
      </c>
      <c r="E183" s="66" t="s">
        <v>239</v>
      </c>
      <c r="F183" s="67">
        <v>796</v>
      </c>
      <c r="G183" s="67" t="s">
        <v>15</v>
      </c>
      <c r="H183" s="68">
        <f>17+7+15+4+40+2+2+6+1+18+2+2+4</f>
        <v>120</v>
      </c>
      <c r="I183" s="117">
        <v>42206501000</v>
      </c>
      <c r="J183" s="57" t="s">
        <v>30</v>
      </c>
      <c r="K183" s="62">
        <f>[1]Лист3!$F$73</f>
        <v>254922.47999999998</v>
      </c>
      <c r="L183" s="40" t="s">
        <v>12</v>
      </c>
      <c r="M183" s="39" t="s">
        <v>12</v>
      </c>
      <c r="N183" s="79" t="s">
        <v>379</v>
      </c>
      <c r="O183" s="29"/>
    </row>
    <row r="184" spans="1:26" ht="53.25" thickBot="1">
      <c r="A184" s="118">
        <f t="shared" si="2"/>
        <v>168</v>
      </c>
      <c r="B184" s="104" t="s">
        <v>335</v>
      </c>
      <c r="C184" s="57">
        <v>4540143</v>
      </c>
      <c r="D184" s="58" t="s">
        <v>103</v>
      </c>
      <c r="E184" s="66" t="s">
        <v>240</v>
      </c>
      <c r="F184" s="68">
        <v>166</v>
      </c>
      <c r="G184" s="68" t="s">
        <v>176</v>
      </c>
      <c r="H184" s="68">
        <v>54</v>
      </c>
      <c r="I184" s="117">
        <v>42206501000</v>
      </c>
      <c r="J184" s="57" t="s">
        <v>30</v>
      </c>
      <c r="K184" s="62">
        <f>[1]Лист3!$F$74</f>
        <v>5352.48</v>
      </c>
      <c r="L184" s="40" t="s">
        <v>12</v>
      </c>
      <c r="M184" s="39" t="s">
        <v>12</v>
      </c>
      <c r="N184" s="79" t="s">
        <v>379</v>
      </c>
      <c r="O184" s="29"/>
    </row>
    <row r="185" spans="1:26" ht="53.25" thickBot="1">
      <c r="A185" s="118">
        <f t="shared" si="2"/>
        <v>169</v>
      </c>
      <c r="B185" s="107" t="s">
        <v>358</v>
      </c>
      <c r="C185" s="76">
        <v>2611030</v>
      </c>
      <c r="D185" s="58" t="s">
        <v>103</v>
      </c>
      <c r="E185" s="70" t="s">
        <v>241</v>
      </c>
      <c r="F185" s="120">
        <v>796</v>
      </c>
      <c r="G185" s="67" t="s">
        <v>15</v>
      </c>
      <c r="H185" s="68">
        <f>5+4+1+2+2</f>
        <v>14</v>
      </c>
      <c r="I185" s="117">
        <v>42206501000</v>
      </c>
      <c r="J185" s="57" t="s">
        <v>30</v>
      </c>
      <c r="K185" s="62">
        <f>[1]Лист3!$F$75</f>
        <v>17197.32</v>
      </c>
      <c r="L185" s="40" t="s">
        <v>12</v>
      </c>
      <c r="M185" s="39" t="s">
        <v>12</v>
      </c>
      <c r="N185" s="79" t="s">
        <v>379</v>
      </c>
      <c r="O185" s="29"/>
    </row>
    <row r="186" spans="1:26" ht="53.25" thickBot="1">
      <c r="A186" s="118">
        <f t="shared" si="2"/>
        <v>170</v>
      </c>
      <c r="B186" s="107" t="s">
        <v>358</v>
      </c>
      <c r="C186" s="57">
        <v>2611030</v>
      </c>
      <c r="D186" s="58" t="s">
        <v>103</v>
      </c>
      <c r="E186" s="70" t="s">
        <v>242</v>
      </c>
      <c r="F186" s="120">
        <v>796</v>
      </c>
      <c r="G186" s="67" t="s">
        <v>15</v>
      </c>
      <c r="H186" s="68">
        <v>12</v>
      </c>
      <c r="I186" s="117">
        <v>42206501000</v>
      </c>
      <c r="J186" s="57" t="s">
        <v>30</v>
      </c>
      <c r="K186" s="62">
        <f>[1]Лист3!$F$76</f>
        <v>29990.879999999997</v>
      </c>
      <c r="L186" s="40" t="s">
        <v>12</v>
      </c>
      <c r="M186" s="39" t="s">
        <v>12</v>
      </c>
      <c r="N186" s="79" t="s">
        <v>379</v>
      </c>
      <c r="O186" s="29"/>
    </row>
    <row r="187" spans="1:26" ht="53.25" thickBot="1">
      <c r="A187" s="118">
        <f t="shared" si="2"/>
        <v>171</v>
      </c>
      <c r="B187" s="107" t="s">
        <v>358</v>
      </c>
      <c r="C187" s="57">
        <v>2611030</v>
      </c>
      <c r="D187" s="58" t="s">
        <v>103</v>
      </c>
      <c r="E187" s="70" t="s">
        <v>243</v>
      </c>
      <c r="F187" s="120">
        <v>796</v>
      </c>
      <c r="G187" s="67" t="s">
        <v>15</v>
      </c>
      <c r="H187" s="68">
        <f>4+3+3+3</f>
        <v>13</v>
      </c>
      <c r="I187" s="117">
        <v>42206501000</v>
      </c>
      <c r="J187" s="57" t="s">
        <v>30</v>
      </c>
      <c r="K187" s="62">
        <f>[1]Лист3!$F$77</f>
        <v>3492.6111999999998</v>
      </c>
      <c r="L187" s="40" t="s">
        <v>12</v>
      </c>
      <c r="M187" s="39" t="s">
        <v>12</v>
      </c>
      <c r="N187" s="79" t="s">
        <v>379</v>
      </c>
      <c r="O187" s="29"/>
    </row>
    <row r="188" spans="1:26" ht="53.25" thickBot="1">
      <c r="A188" s="118">
        <f t="shared" si="2"/>
        <v>172</v>
      </c>
      <c r="B188" s="107" t="s">
        <v>358</v>
      </c>
      <c r="C188" s="57">
        <v>2611030</v>
      </c>
      <c r="D188" s="58" t="s">
        <v>103</v>
      </c>
      <c r="E188" s="66" t="s">
        <v>244</v>
      </c>
      <c r="F188" s="120">
        <v>796</v>
      </c>
      <c r="G188" s="67" t="s">
        <v>15</v>
      </c>
      <c r="H188" s="68">
        <v>10</v>
      </c>
      <c r="I188" s="117">
        <v>42206501000</v>
      </c>
      <c r="J188" s="57" t="s">
        <v>30</v>
      </c>
      <c r="K188" s="62">
        <f>[1]Лист3!$F$78</f>
        <v>2473.9879999999998</v>
      </c>
      <c r="L188" s="40" t="s">
        <v>12</v>
      </c>
      <c r="M188" s="39" t="s">
        <v>12</v>
      </c>
      <c r="N188" s="79" t="s">
        <v>379</v>
      </c>
      <c r="O188" s="29"/>
    </row>
    <row r="189" spans="1:26" ht="53.25" thickBot="1">
      <c r="A189" s="118">
        <f t="shared" si="2"/>
        <v>173</v>
      </c>
      <c r="B189" s="107" t="s">
        <v>345</v>
      </c>
      <c r="C189" s="57">
        <v>22726120</v>
      </c>
      <c r="D189" s="58" t="s">
        <v>103</v>
      </c>
      <c r="E189" s="71" t="s">
        <v>245</v>
      </c>
      <c r="F189" s="120">
        <v>796</v>
      </c>
      <c r="G189" s="67" t="s">
        <v>15</v>
      </c>
      <c r="H189" s="68">
        <f>50+50</f>
        <v>100</v>
      </c>
      <c r="I189" s="117">
        <v>42206501000</v>
      </c>
      <c r="J189" s="57" t="s">
        <v>30</v>
      </c>
      <c r="K189" s="62">
        <f>[1]Лист3!$F$79</f>
        <v>56.64</v>
      </c>
      <c r="L189" s="40" t="s">
        <v>12</v>
      </c>
      <c r="M189" s="39" t="s">
        <v>12</v>
      </c>
      <c r="N189" s="79" t="s">
        <v>379</v>
      </c>
      <c r="O189" s="29"/>
    </row>
    <row r="190" spans="1:26" ht="53.25" thickBot="1">
      <c r="A190" s="118">
        <f t="shared" si="2"/>
        <v>174</v>
      </c>
      <c r="B190" s="107" t="s">
        <v>345</v>
      </c>
      <c r="C190" s="57">
        <v>22726120</v>
      </c>
      <c r="D190" s="58" t="s">
        <v>103</v>
      </c>
      <c r="E190" s="66" t="s">
        <v>246</v>
      </c>
      <c r="F190" s="120">
        <v>796</v>
      </c>
      <c r="G190" s="67" t="s">
        <v>15</v>
      </c>
      <c r="H190" s="68">
        <f>50+50</f>
        <v>100</v>
      </c>
      <c r="I190" s="117">
        <v>42206501000</v>
      </c>
      <c r="J190" s="57" t="s">
        <v>30</v>
      </c>
      <c r="K190" s="62">
        <f>[1]Лист3!$F$80</f>
        <v>86.14</v>
      </c>
      <c r="L190" s="40" t="s">
        <v>12</v>
      </c>
      <c r="M190" s="39" t="s">
        <v>12</v>
      </c>
      <c r="N190" s="79" t="s">
        <v>379</v>
      </c>
      <c r="O190" s="29"/>
    </row>
    <row r="191" spans="1:26" ht="53.25" thickBot="1">
      <c r="A191" s="118">
        <f t="shared" si="2"/>
        <v>175</v>
      </c>
      <c r="B191" s="107" t="s">
        <v>345</v>
      </c>
      <c r="C191" s="57">
        <v>22726120</v>
      </c>
      <c r="D191" s="58" t="s">
        <v>103</v>
      </c>
      <c r="E191" s="66" t="s">
        <v>247</v>
      </c>
      <c r="F191" s="120">
        <v>796</v>
      </c>
      <c r="G191" s="67" t="s">
        <v>15</v>
      </c>
      <c r="H191" s="68">
        <f>50+50</f>
        <v>100</v>
      </c>
      <c r="I191" s="117">
        <v>42206501000</v>
      </c>
      <c r="J191" s="57" t="s">
        <v>30</v>
      </c>
      <c r="K191" s="62">
        <f>[1]Лист3!$F$81</f>
        <v>118</v>
      </c>
      <c r="L191" s="40" t="s">
        <v>12</v>
      </c>
      <c r="M191" s="39" t="s">
        <v>12</v>
      </c>
      <c r="N191" s="79" t="s">
        <v>379</v>
      </c>
      <c r="O191" s="29"/>
    </row>
    <row r="192" spans="1:26" ht="53.25" thickBot="1">
      <c r="A192" s="118">
        <f t="shared" si="2"/>
        <v>176</v>
      </c>
      <c r="B192" s="107" t="s">
        <v>345</v>
      </c>
      <c r="C192" s="57">
        <v>22726120</v>
      </c>
      <c r="D192" s="58" t="s">
        <v>103</v>
      </c>
      <c r="E192" s="66" t="s">
        <v>248</v>
      </c>
      <c r="F192" s="120">
        <v>796</v>
      </c>
      <c r="G192" s="67" t="s">
        <v>15</v>
      </c>
      <c r="H192" s="68">
        <f>24+24</f>
        <v>48</v>
      </c>
      <c r="I192" s="117">
        <v>42206501000</v>
      </c>
      <c r="J192" s="57" t="s">
        <v>30</v>
      </c>
      <c r="K192" s="62">
        <f>[1]Лист3!$F$82</f>
        <v>743.1167999999999</v>
      </c>
      <c r="L192" s="40" t="s">
        <v>12</v>
      </c>
      <c r="M192" s="39" t="s">
        <v>12</v>
      </c>
      <c r="N192" s="79" t="s">
        <v>379</v>
      </c>
      <c r="O192" s="29"/>
    </row>
    <row r="193" spans="1:15" ht="53.25" thickBot="1">
      <c r="A193" s="118">
        <f t="shared" si="2"/>
        <v>177</v>
      </c>
      <c r="B193" s="107" t="s">
        <v>345</v>
      </c>
      <c r="C193" s="57">
        <v>22726120</v>
      </c>
      <c r="D193" s="58" t="s">
        <v>103</v>
      </c>
      <c r="E193" s="66" t="s">
        <v>249</v>
      </c>
      <c r="F193" s="120">
        <v>796</v>
      </c>
      <c r="G193" s="67" t="s">
        <v>15</v>
      </c>
      <c r="H193" s="68">
        <f>8+8</f>
        <v>16</v>
      </c>
      <c r="I193" s="117">
        <v>42206501000</v>
      </c>
      <c r="J193" s="57" t="s">
        <v>30</v>
      </c>
      <c r="K193" s="62">
        <f>[1]Лист3!$F$83</f>
        <v>431.40800000000002</v>
      </c>
      <c r="L193" s="40" t="s">
        <v>12</v>
      </c>
      <c r="M193" s="39" t="s">
        <v>12</v>
      </c>
      <c r="N193" s="79" t="s">
        <v>379</v>
      </c>
      <c r="O193" s="29"/>
    </row>
    <row r="194" spans="1:15" ht="53.25" thickBot="1">
      <c r="A194" s="118">
        <f t="shared" si="2"/>
        <v>178</v>
      </c>
      <c r="B194" s="108">
        <v>41272</v>
      </c>
      <c r="C194" s="57">
        <v>2912010</v>
      </c>
      <c r="D194" s="58" t="s">
        <v>103</v>
      </c>
      <c r="E194" s="71" t="s">
        <v>250</v>
      </c>
      <c r="F194" s="120">
        <v>796</v>
      </c>
      <c r="G194" s="67" t="s">
        <v>15</v>
      </c>
      <c r="H194" s="68">
        <v>1</v>
      </c>
      <c r="I194" s="117">
        <v>42206501000</v>
      </c>
      <c r="J194" s="57" t="s">
        <v>30</v>
      </c>
      <c r="K194" s="62">
        <f>[1]Лист3!$F$84</f>
        <v>14160</v>
      </c>
      <c r="L194" s="40" t="s">
        <v>12</v>
      </c>
      <c r="M194" s="39" t="s">
        <v>12</v>
      </c>
      <c r="N194" s="79" t="s">
        <v>379</v>
      </c>
      <c r="O194" s="29"/>
    </row>
    <row r="195" spans="1:15" ht="53.25" thickBot="1">
      <c r="A195" s="118">
        <f t="shared" si="2"/>
        <v>179</v>
      </c>
      <c r="B195" s="104" t="s">
        <v>347</v>
      </c>
      <c r="C195" s="57">
        <v>2695020</v>
      </c>
      <c r="D195" s="58" t="s">
        <v>103</v>
      </c>
      <c r="E195" s="69" t="s">
        <v>251</v>
      </c>
      <c r="F195" s="120">
        <v>796</v>
      </c>
      <c r="G195" s="67" t="s">
        <v>15</v>
      </c>
      <c r="H195" s="68">
        <f>2+1</f>
        <v>3</v>
      </c>
      <c r="I195" s="117">
        <v>42206501000</v>
      </c>
      <c r="J195" s="57" t="s">
        <v>30</v>
      </c>
      <c r="K195" s="62">
        <f>[1]Лист3!$F$85</f>
        <v>10871.693999999998</v>
      </c>
      <c r="L195" s="40" t="s">
        <v>12</v>
      </c>
      <c r="M195" s="39" t="s">
        <v>12</v>
      </c>
      <c r="N195" s="79" t="s">
        <v>379</v>
      </c>
      <c r="O195" s="29"/>
    </row>
    <row r="196" spans="1:15" ht="53.25" thickBot="1">
      <c r="A196" s="118">
        <f t="shared" si="2"/>
        <v>180</v>
      </c>
      <c r="B196" s="104" t="s">
        <v>347</v>
      </c>
      <c r="C196" s="57">
        <v>2695020</v>
      </c>
      <c r="D196" s="58" t="s">
        <v>103</v>
      </c>
      <c r="E196" s="69" t="s">
        <v>252</v>
      </c>
      <c r="F196" s="120">
        <v>796</v>
      </c>
      <c r="G196" s="67" t="s">
        <v>15</v>
      </c>
      <c r="H196" s="68">
        <v>3</v>
      </c>
      <c r="I196" s="117">
        <v>42206501000</v>
      </c>
      <c r="J196" s="57" t="s">
        <v>30</v>
      </c>
      <c r="K196" s="62">
        <f>[1]Лист3!$F$86</f>
        <v>21368.502</v>
      </c>
      <c r="L196" s="40" t="s">
        <v>12</v>
      </c>
      <c r="M196" s="39" t="s">
        <v>12</v>
      </c>
      <c r="N196" s="79" t="s">
        <v>379</v>
      </c>
      <c r="O196" s="29"/>
    </row>
    <row r="197" spans="1:15" ht="53.25" thickBot="1">
      <c r="A197" s="118">
        <f t="shared" si="2"/>
        <v>181</v>
      </c>
      <c r="B197" s="107"/>
      <c r="C197" s="77"/>
      <c r="D197" s="58" t="s">
        <v>103</v>
      </c>
      <c r="E197" s="66" t="s">
        <v>253</v>
      </c>
      <c r="F197" s="120">
        <v>796</v>
      </c>
      <c r="G197" s="67" t="s">
        <v>15</v>
      </c>
      <c r="H197" s="68">
        <f>5+5</f>
        <v>10</v>
      </c>
      <c r="I197" s="117">
        <v>42206501000</v>
      </c>
      <c r="J197" s="57" t="s">
        <v>30</v>
      </c>
      <c r="K197" s="62">
        <f>[1]Лист3!$F$87</f>
        <v>56.64</v>
      </c>
      <c r="L197" s="40" t="s">
        <v>12</v>
      </c>
      <c r="M197" s="39" t="s">
        <v>12</v>
      </c>
      <c r="N197" s="79" t="s">
        <v>379</v>
      </c>
      <c r="O197" s="29"/>
    </row>
    <row r="198" spans="1:15" ht="53.25" thickBot="1">
      <c r="A198" s="118">
        <f t="shared" si="2"/>
        <v>182</v>
      </c>
      <c r="B198" s="107" t="s">
        <v>359</v>
      </c>
      <c r="C198" s="77">
        <v>2422180</v>
      </c>
      <c r="D198" s="58" t="s">
        <v>103</v>
      </c>
      <c r="E198" s="70" t="s">
        <v>254</v>
      </c>
      <c r="F198" s="120">
        <v>166</v>
      </c>
      <c r="G198" s="67" t="s">
        <v>176</v>
      </c>
      <c r="H198" s="68">
        <f>1.4+1.4+0.2</f>
        <v>3</v>
      </c>
      <c r="I198" s="117">
        <v>42206501000</v>
      </c>
      <c r="J198" s="57" t="s">
        <v>30</v>
      </c>
      <c r="K198" s="62">
        <f>[1]Лист3!$F$88</f>
        <v>145.13999999999999</v>
      </c>
      <c r="L198" s="40" t="s">
        <v>12</v>
      </c>
      <c r="M198" s="39" t="s">
        <v>12</v>
      </c>
      <c r="N198" s="79" t="s">
        <v>379</v>
      </c>
      <c r="O198" s="29"/>
    </row>
    <row r="199" spans="1:15" ht="53.25" thickBot="1">
      <c r="A199" s="118">
        <f t="shared" si="2"/>
        <v>183</v>
      </c>
      <c r="B199" s="107" t="s">
        <v>358</v>
      </c>
      <c r="C199" s="57">
        <v>2611030</v>
      </c>
      <c r="D199" s="58" t="s">
        <v>103</v>
      </c>
      <c r="E199" s="70" t="s">
        <v>255</v>
      </c>
      <c r="F199" s="120">
        <v>796</v>
      </c>
      <c r="G199" s="67" t="s">
        <v>15</v>
      </c>
      <c r="H199" s="68">
        <f>2+4</f>
        <v>6</v>
      </c>
      <c r="I199" s="117">
        <v>42206501000</v>
      </c>
      <c r="J199" s="57" t="s">
        <v>30</v>
      </c>
      <c r="K199" s="62">
        <f>[1]Лист3!$F$89</f>
        <v>4251.1859999999997</v>
      </c>
      <c r="L199" s="40" t="s">
        <v>12</v>
      </c>
      <c r="M199" s="39" t="s">
        <v>12</v>
      </c>
      <c r="N199" s="79" t="s">
        <v>379</v>
      </c>
      <c r="O199" s="29"/>
    </row>
    <row r="200" spans="1:15" ht="53.25" thickBot="1">
      <c r="A200" s="118">
        <f t="shared" si="2"/>
        <v>184</v>
      </c>
      <c r="B200" s="107" t="s">
        <v>358</v>
      </c>
      <c r="C200" s="57">
        <v>2611030</v>
      </c>
      <c r="D200" s="58" t="s">
        <v>103</v>
      </c>
      <c r="E200" s="69" t="s">
        <v>256</v>
      </c>
      <c r="F200" s="67">
        <v>796</v>
      </c>
      <c r="G200" s="67" t="s">
        <v>15</v>
      </c>
      <c r="H200" s="68">
        <v>4</v>
      </c>
      <c r="I200" s="117">
        <v>42206501000</v>
      </c>
      <c r="J200" s="57" t="s">
        <v>30</v>
      </c>
      <c r="K200" s="62">
        <f>[1]Лист3!$F$90</f>
        <v>7018.8759999999993</v>
      </c>
      <c r="L200" s="40" t="s">
        <v>12</v>
      </c>
      <c r="M200" s="39" t="s">
        <v>12</v>
      </c>
      <c r="N200" s="79" t="s">
        <v>379</v>
      </c>
      <c r="O200" s="29"/>
    </row>
    <row r="201" spans="1:15" ht="53.25" thickBot="1">
      <c r="A201" s="118">
        <f t="shared" si="2"/>
        <v>185</v>
      </c>
      <c r="B201" s="107" t="s">
        <v>358</v>
      </c>
      <c r="C201" s="57">
        <v>2611030</v>
      </c>
      <c r="D201" s="58" t="s">
        <v>103</v>
      </c>
      <c r="E201" s="69" t="s">
        <v>257</v>
      </c>
      <c r="F201" s="67">
        <v>796</v>
      </c>
      <c r="G201" s="67" t="s">
        <v>15</v>
      </c>
      <c r="H201" s="68">
        <v>3</v>
      </c>
      <c r="I201" s="117">
        <v>42206501000</v>
      </c>
      <c r="J201" s="57" t="s">
        <v>30</v>
      </c>
      <c r="K201" s="62">
        <f>[1]Лист3!$F$91</f>
        <v>44986.32</v>
      </c>
      <c r="L201" s="40" t="s">
        <v>12</v>
      </c>
      <c r="M201" s="39" t="s">
        <v>12</v>
      </c>
      <c r="N201" s="79" t="s">
        <v>379</v>
      </c>
      <c r="O201" s="29"/>
    </row>
    <row r="202" spans="1:15" ht="53.25" thickBot="1">
      <c r="A202" s="118">
        <f t="shared" si="2"/>
        <v>186</v>
      </c>
      <c r="B202" s="107" t="s">
        <v>358</v>
      </c>
      <c r="C202" s="57">
        <v>2611030</v>
      </c>
      <c r="D202" s="58" t="s">
        <v>103</v>
      </c>
      <c r="E202" s="70" t="s">
        <v>258</v>
      </c>
      <c r="F202" s="67">
        <v>796</v>
      </c>
      <c r="G202" s="67" t="s">
        <v>15</v>
      </c>
      <c r="H202" s="68">
        <v>16</v>
      </c>
      <c r="I202" s="117">
        <v>42206501000</v>
      </c>
      <c r="J202" s="57" t="s">
        <v>30</v>
      </c>
      <c r="K202" s="62">
        <f>[1]Лист3!$F$92</f>
        <v>16395.0144</v>
      </c>
      <c r="L202" s="40" t="s">
        <v>12</v>
      </c>
      <c r="M202" s="39" t="s">
        <v>12</v>
      </c>
      <c r="N202" s="79" t="s">
        <v>379</v>
      </c>
      <c r="O202" s="29"/>
    </row>
    <row r="203" spans="1:15" ht="53.25" thickBot="1">
      <c r="A203" s="118">
        <f t="shared" si="2"/>
        <v>187</v>
      </c>
      <c r="B203" s="107" t="s">
        <v>345</v>
      </c>
      <c r="C203" s="57">
        <v>2611030</v>
      </c>
      <c r="D203" s="58" t="s">
        <v>103</v>
      </c>
      <c r="E203" s="70" t="s">
        <v>259</v>
      </c>
      <c r="F203" s="67">
        <v>796</v>
      </c>
      <c r="G203" s="67" t="s">
        <v>15</v>
      </c>
      <c r="H203" s="68">
        <v>8</v>
      </c>
      <c r="I203" s="117">
        <v>42206501000</v>
      </c>
      <c r="J203" s="57" t="s">
        <v>30</v>
      </c>
      <c r="K203" s="62">
        <f>[1]Лист3!$F$93</f>
        <v>43486.775999999991</v>
      </c>
      <c r="L203" s="40" t="s">
        <v>12</v>
      </c>
      <c r="M203" s="39" t="s">
        <v>12</v>
      </c>
      <c r="N203" s="79" t="s">
        <v>379</v>
      </c>
      <c r="O203" s="29"/>
    </row>
    <row r="204" spans="1:15" ht="53.25" thickBot="1">
      <c r="A204" s="118">
        <f t="shared" si="2"/>
        <v>188</v>
      </c>
      <c r="B204" s="107" t="s">
        <v>349</v>
      </c>
      <c r="C204" s="77">
        <v>3130000</v>
      </c>
      <c r="D204" s="58" t="s">
        <v>103</v>
      </c>
      <c r="E204" s="66" t="s">
        <v>260</v>
      </c>
      <c r="F204" s="122" t="s">
        <v>445</v>
      </c>
      <c r="G204" s="67" t="s">
        <v>19</v>
      </c>
      <c r="H204" s="68">
        <f>250+250</f>
        <v>500</v>
      </c>
      <c r="I204" s="117">
        <v>42206501000</v>
      </c>
      <c r="J204" s="57" t="s">
        <v>30</v>
      </c>
      <c r="K204" s="62">
        <f>[1]Лист3!$F$94</f>
        <v>11404.699999999999</v>
      </c>
      <c r="L204" s="40" t="s">
        <v>12</v>
      </c>
      <c r="M204" s="39" t="s">
        <v>12</v>
      </c>
      <c r="N204" s="79" t="s">
        <v>379</v>
      </c>
      <c r="O204" s="29"/>
    </row>
    <row r="205" spans="1:15" ht="53.25" thickBot="1">
      <c r="A205" s="118">
        <f t="shared" si="2"/>
        <v>189</v>
      </c>
      <c r="B205" s="107" t="s">
        <v>349</v>
      </c>
      <c r="C205" s="77">
        <v>3130000</v>
      </c>
      <c r="D205" s="58" t="s">
        <v>103</v>
      </c>
      <c r="E205" s="66" t="s">
        <v>261</v>
      </c>
      <c r="F205" s="122" t="s">
        <v>445</v>
      </c>
      <c r="G205" s="67" t="s">
        <v>19</v>
      </c>
      <c r="H205" s="68">
        <f>100+100</f>
        <v>200</v>
      </c>
      <c r="I205" s="117">
        <v>42206501000</v>
      </c>
      <c r="J205" s="57" t="s">
        <v>30</v>
      </c>
      <c r="K205" s="62">
        <f>[1]Лист3!$F$95</f>
        <v>6900.6399999999994</v>
      </c>
      <c r="L205" s="40" t="s">
        <v>12</v>
      </c>
      <c r="M205" s="39" t="s">
        <v>12</v>
      </c>
      <c r="N205" s="79" t="s">
        <v>379</v>
      </c>
      <c r="O205" s="29"/>
    </row>
    <row r="206" spans="1:15" ht="53.25" thickBot="1">
      <c r="A206" s="118">
        <f t="shared" si="2"/>
        <v>190</v>
      </c>
      <c r="B206" s="107" t="s">
        <v>349</v>
      </c>
      <c r="C206" s="77">
        <v>3130000</v>
      </c>
      <c r="D206" s="58" t="s">
        <v>103</v>
      </c>
      <c r="E206" s="66" t="s">
        <v>262</v>
      </c>
      <c r="F206" s="122" t="s">
        <v>445</v>
      </c>
      <c r="G206" s="67" t="s">
        <v>19</v>
      </c>
      <c r="H206" s="68">
        <f>50+50</f>
        <v>100</v>
      </c>
      <c r="I206" s="117">
        <v>42206501000</v>
      </c>
      <c r="J206" s="57" t="s">
        <v>30</v>
      </c>
      <c r="K206" s="62">
        <f>[1]Лист3!$F$96</f>
        <v>4875.7599999999993</v>
      </c>
      <c r="L206" s="40" t="s">
        <v>12</v>
      </c>
      <c r="M206" s="39" t="s">
        <v>12</v>
      </c>
      <c r="N206" s="79" t="s">
        <v>379</v>
      </c>
      <c r="O206" s="29"/>
    </row>
    <row r="207" spans="1:15" ht="53.25" thickBot="1">
      <c r="A207" s="118">
        <f t="shared" si="2"/>
        <v>191</v>
      </c>
      <c r="B207" s="107"/>
      <c r="C207" s="77"/>
      <c r="D207" s="58" t="s">
        <v>103</v>
      </c>
      <c r="E207" s="69" t="s">
        <v>263</v>
      </c>
      <c r="F207" s="67">
        <v>796</v>
      </c>
      <c r="G207" s="67" t="s">
        <v>15</v>
      </c>
      <c r="H207" s="68">
        <f>1+1</f>
        <v>2</v>
      </c>
      <c r="I207" s="117">
        <v>42206501000</v>
      </c>
      <c r="J207" s="57" t="s">
        <v>30</v>
      </c>
      <c r="K207" s="62">
        <f>[1]Лист3!$F$97</f>
        <v>234.82</v>
      </c>
      <c r="L207" s="40" t="s">
        <v>12</v>
      </c>
      <c r="M207" s="39" t="s">
        <v>12</v>
      </c>
      <c r="N207" s="79" t="s">
        <v>379</v>
      </c>
      <c r="O207" s="29"/>
    </row>
    <row r="208" spans="1:15" ht="53.25" thickBot="1">
      <c r="A208" s="118">
        <f t="shared" si="2"/>
        <v>192</v>
      </c>
      <c r="B208" s="107" t="s">
        <v>360</v>
      </c>
      <c r="C208" s="77">
        <v>1413010</v>
      </c>
      <c r="D208" s="58" t="s">
        <v>103</v>
      </c>
      <c r="E208" s="66" t="s">
        <v>264</v>
      </c>
      <c r="F208" s="68">
        <v>113</v>
      </c>
      <c r="G208" s="67" t="s">
        <v>178</v>
      </c>
      <c r="H208" s="68">
        <f>7.46+14</f>
        <v>21.46</v>
      </c>
      <c r="I208" s="117">
        <v>42206501000</v>
      </c>
      <c r="J208" s="57" t="s">
        <v>30</v>
      </c>
      <c r="K208" s="62">
        <f>[1]Лист3!$F$98</f>
        <v>14159.243619999999</v>
      </c>
      <c r="L208" s="40" t="s">
        <v>12</v>
      </c>
      <c r="M208" s="39" t="s">
        <v>12</v>
      </c>
      <c r="N208" s="79" t="s">
        <v>379</v>
      </c>
      <c r="O208" s="29"/>
    </row>
    <row r="209" spans="1:15" ht="53.25" thickBot="1">
      <c r="A209" s="118">
        <f t="shared" si="2"/>
        <v>193</v>
      </c>
      <c r="B209" s="107" t="s">
        <v>360</v>
      </c>
      <c r="C209" s="77">
        <v>1413010</v>
      </c>
      <c r="D209" s="58" t="s">
        <v>103</v>
      </c>
      <c r="E209" s="69" t="s">
        <v>265</v>
      </c>
      <c r="F209" s="67">
        <v>168</v>
      </c>
      <c r="G209" s="67" t="s">
        <v>17</v>
      </c>
      <c r="H209" s="68">
        <v>60</v>
      </c>
      <c r="I209" s="117">
        <v>42206501000</v>
      </c>
      <c r="J209" s="57" t="s">
        <v>30</v>
      </c>
      <c r="K209" s="62">
        <f>[1]Лист3!$F$99</f>
        <v>174696.87599999996</v>
      </c>
      <c r="L209" s="40" t="s">
        <v>12</v>
      </c>
      <c r="M209" s="39" t="s">
        <v>12</v>
      </c>
      <c r="N209" s="79" t="s">
        <v>379</v>
      </c>
      <c r="O209" s="29"/>
    </row>
    <row r="210" spans="1:15" ht="53.25" thickBot="1">
      <c r="A210" s="118">
        <f t="shared" si="2"/>
        <v>194</v>
      </c>
      <c r="B210" s="104" t="s">
        <v>347</v>
      </c>
      <c r="C210" s="57">
        <v>2695020</v>
      </c>
      <c r="D210" s="58" t="s">
        <v>103</v>
      </c>
      <c r="E210" s="70" t="s">
        <v>266</v>
      </c>
      <c r="F210" s="120">
        <v>796</v>
      </c>
      <c r="G210" s="67" t="s">
        <v>15</v>
      </c>
      <c r="H210" s="68">
        <f>13+55+4+5+2+2+6+1+12+2+2+1</f>
        <v>105</v>
      </c>
      <c r="I210" s="117">
        <v>42206501000</v>
      </c>
      <c r="J210" s="57" t="s">
        <v>30</v>
      </c>
      <c r="K210" s="62">
        <f>[1]Лист3!$F$100</f>
        <v>262420.2</v>
      </c>
      <c r="L210" s="40" t="s">
        <v>12</v>
      </c>
      <c r="M210" s="39" t="s">
        <v>12</v>
      </c>
      <c r="N210" s="79" t="s">
        <v>379</v>
      </c>
      <c r="O210" s="29"/>
    </row>
    <row r="211" spans="1:15" ht="53.25" thickBot="1">
      <c r="A211" s="118">
        <f t="shared" ref="A211:A274" si="3">A210+1</f>
        <v>195</v>
      </c>
      <c r="B211" s="104" t="s">
        <v>347</v>
      </c>
      <c r="C211" s="57">
        <v>2695020</v>
      </c>
      <c r="D211" s="58" t="s">
        <v>103</v>
      </c>
      <c r="E211" s="66" t="s">
        <v>267</v>
      </c>
      <c r="F211" s="68">
        <v>796</v>
      </c>
      <c r="G211" s="68" t="s">
        <v>15</v>
      </c>
      <c r="H211" s="68">
        <f>1+3</f>
        <v>4</v>
      </c>
      <c r="I211" s="117">
        <v>42206501000</v>
      </c>
      <c r="J211" s="57" t="s">
        <v>30</v>
      </c>
      <c r="K211" s="62">
        <f>[1]Лист3!$F$101</f>
        <v>21264.732799999998</v>
      </c>
      <c r="L211" s="40" t="s">
        <v>12</v>
      </c>
      <c r="M211" s="39" t="s">
        <v>12</v>
      </c>
      <c r="N211" s="79" t="s">
        <v>379</v>
      </c>
      <c r="O211" s="29"/>
    </row>
    <row r="212" spans="1:15" ht="53.25" thickBot="1">
      <c r="A212" s="118">
        <f t="shared" si="3"/>
        <v>196</v>
      </c>
      <c r="B212" s="104" t="s">
        <v>347</v>
      </c>
      <c r="C212" s="57">
        <v>2695020</v>
      </c>
      <c r="D212" s="58" t="s">
        <v>103</v>
      </c>
      <c r="E212" s="66" t="s">
        <v>267</v>
      </c>
      <c r="F212" s="68">
        <v>796</v>
      </c>
      <c r="G212" s="67" t="s">
        <v>15</v>
      </c>
      <c r="H212" s="68">
        <v>5</v>
      </c>
      <c r="I212" s="117">
        <v>42206501000</v>
      </c>
      <c r="J212" s="57" t="s">
        <v>30</v>
      </c>
      <c r="K212" s="62">
        <f>[1]Лист3!$F$102</f>
        <v>26580.915999999994</v>
      </c>
      <c r="L212" s="40" t="s">
        <v>12</v>
      </c>
      <c r="M212" s="39" t="s">
        <v>12</v>
      </c>
      <c r="N212" s="79" t="s">
        <v>379</v>
      </c>
      <c r="O212" s="29"/>
    </row>
    <row r="213" spans="1:15" ht="53.25" thickBot="1">
      <c r="A213" s="118">
        <f t="shared" si="3"/>
        <v>197</v>
      </c>
      <c r="B213" s="104" t="s">
        <v>347</v>
      </c>
      <c r="C213" s="57">
        <v>2695020</v>
      </c>
      <c r="D213" s="58" t="s">
        <v>103</v>
      </c>
      <c r="E213" s="66" t="s">
        <v>268</v>
      </c>
      <c r="F213" s="68">
        <v>796</v>
      </c>
      <c r="G213" s="67" t="s">
        <v>15</v>
      </c>
      <c r="H213" s="68">
        <v>2</v>
      </c>
      <c r="I213" s="117">
        <v>42206501000</v>
      </c>
      <c r="J213" s="57" t="s">
        <v>30</v>
      </c>
      <c r="K213" s="62">
        <f>[1]Лист3!$F$103</f>
        <v>23600</v>
      </c>
      <c r="L213" s="40" t="s">
        <v>12</v>
      </c>
      <c r="M213" s="39" t="s">
        <v>12</v>
      </c>
      <c r="N213" s="79" t="s">
        <v>379</v>
      </c>
      <c r="O213" s="29"/>
    </row>
    <row r="214" spans="1:15" ht="53.25" thickBot="1">
      <c r="A214" s="118">
        <f t="shared" si="3"/>
        <v>198</v>
      </c>
      <c r="B214" s="104" t="s">
        <v>347</v>
      </c>
      <c r="C214" s="57">
        <v>2695020</v>
      </c>
      <c r="D214" s="58" t="s">
        <v>103</v>
      </c>
      <c r="E214" s="69" t="s">
        <v>269</v>
      </c>
      <c r="F214" s="68">
        <v>796</v>
      </c>
      <c r="G214" s="67" t="s">
        <v>15</v>
      </c>
      <c r="H214" s="68">
        <f>3+1+15</f>
        <v>19</v>
      </c>
      <c r="I214" s="117">
        <v>42206501000</v>
      </c>
      <c r="J214" s="57" t="s">
        <v>30</v>
      </c>
      <c r="K214" s="62">
        <f>[1]Лист3!$F$104</f>
        <v>73602.617999999988</v>
      </c>
      <c r="L214" s="40" t="s">
        <v>12</v>
      </c>
      <c r="M214" s="39" t="s">
        <v>12</v>
      </c>
      <c r="N214" s="79" t="s">
        <v>379</v>
      </c>
      <c r="O214" s="29"/>
    </row>
    <row r="215" spans="1:15" ht="53.25" thickBot="1">
      <c r="A215" s="118">
        <f t="shared" si="3"/>
        <v>199</v>
      </c>
      <c r="B215" s="102" t="s">
        <v>11</v>
      </c>
      <c r="C215" s="57">
        <v>2944200</v>
      </c>
      <c r="D215" s="58" t="s">
        <v>103</v>
      </c>
      <c r="E215" s="66" t="s">
        <v>270</v>
      </c>
      <c r="F215" s="68">
        <v>796</v>
      </c>
      <c r="G215" s="68" t="s">
        <v>15</v>
      </c>
      <c r="H215" s="68">
        <f>1+1</f>
        <v>2</v>
      </c>
      <c r="I215" s="117">
        <v>42206501000</v>
      </c>
      <c r="J215" s="57" t="s">
        <v>30</v>
      </c>
      <c r="K215" s="62">
        <f>[1]Лист3!$F$105</f>
        <v>19494.072</v>
      </c>
      <c r="L215" s="40" t="s">
        <v>12</v>
      </c>
      <c r="M215" s="39" t="s">
        <v>12</v>
      </c>
      <c r="N215" s="79" t="s">
        <v>379</v>
      </c>
      <c r="O215" s="29"/>
    </row>
    <row r="216" spans="1:15" ht="53.25" thickBot="1">
      <c r="A216" s="118">
        <f t="shared" si="3"/>
        <v>200</v>
      </c>
      <c r="B216" s="103" t="s">
        <v>357</v>
      </c>
      <c r="C216" s="74">
        <v>2712140</v>
      </c>
      <c r="D216" s="58" t="s">
        <v>103</v>
      </c>
      <c r="E216" s="69" t="s">
        <v>271</v>
      </c>
      <c r="F216" s="67">
        <v>168</v>
      </c>
      <c r="G216" s="67" t="s">
        <v>17</v>
      </c>
      <c r="H216" s="68">
        <f>0.07+0.2+0.07</f>
        <v>0.34</v>
      </c>
      <c r="I216" s="117">
        <v>42206501000</v>
      </c>
      <c r="J216" s="57" t="s">
        <v>30</v>
      </c>
      <c r="K216" s="62">
        <f>[1]Лист3!$F$106</f>
        <v>10277.624651999999</v>
      </c>
      <c r="L216" s="40" t="s">
        <v>12</v>
      </c>
      <c r="M216" s="39" t="s">
        <v>12</v>
      </c>
      <c r="N216" s="79" t="s">
        <v>379</v>
      </c>
      <c r="O216" s="29"/>
    </row>
    <row r="217" spans="1:15" ht="53.25" thickBot="1">
      <c r="A217" s="118">
        <f t="shared" si="3"/>
        <v>201</v>
      </c>
      <c r="B217" s="107" t="s">
        <v>349</v>
      </c>
      <c r="C217" s="77">
        <v>3130000</v>
      </c>
      <c r="D217" s="58" t="s">
        <v>103</v>
      </c>
      <c r="E217" s="66" t="s">
        <v>272</v>
      </c>
      <c r="F217" s="122" t="s">
        <v>445</v>
      </c>
      <c r="G217" s="67" t="s">
        <v>19</v>
      </c>
      <c r="H217" s="68">
        <f>10+10</f>
        <v>20</v>
      </c>
      <c r="I217" s="117">
        <v>42206501000</v>
      </c>
      <c r="J217" s="57" t="s">
        <v>30</v>
      </c>
      <c r="K217" s="62">
        <f>[1]Лист3!$F$107</f>
        <v>1234.28</v>
      </c>
      <c r="L217" s="40" t="s">
        <v>12</v>
      </c>
      <c r="M217" s="39" t="s">
        <v>12</v>
      </c>
      <c r="N217" s="79" t="s">
        <v>379</v>
      </c>
      <c r="O217" s="29"/>
    </row>
    <row r="218" spans="1:15" ht="53.25" thickBot="1">
      <c r="A218" s="118">
        <f t="shared" si="3"/>
        <v>202</v>
      </c>
      <c r="B218" s="107" t="s">
        <v>332</v>
      </c>
      <c r="C218" s="77">
        <v>3120370</v>
      </c>
      <c r="D218" s="58" t="s">
        <v>103</v>
      </c>
      <c r="E218" s="66" t="s">
        <v>273</v>
      </c>
      <c r="F218" s="68">
        <v>796</v>
      </c>
      <c r="G218" s="67" t="s">
        <v>15</v>
      </c>
      <c r="H218" s="68">
        <f>2+2</f>
        <v>4</v>
      </c>
      <c r="I218" s="117">
        <v>42206501000</v>
      </c>
      <c r="J218" s="57" t="s">
        <v>30</v>
      </c>
      <c r="K218" s="62">
        <f>[1]Лист3!$F$108</f>
        <v>4427.6904000000004</v>
      </c>
      <c r="L218" s="40" t="s">
        <v>12</v>
      </c>
      <c r="M218" s="39" t="s">
        <v>12</v>
      </c>
      <c r="N218" s="79" t="s">
        <v>379</v>
      </c>
      <c r="O218" s="29"/>
    </row>
    <row r="219" spans="1:15" ht="53.25" thickBot="1">
      <c r="A219" s="118">
        <f t="shared" si="3"/>
        <v>203</v>
      </c>
      <c r="B219" s="107" t="s">
        <v>332</v>
      </c>
      <c r="C219" s="77">
        <v>3120020</v>
      </c>
      <c r="D219" s="58" t="s">
        <v>103</v>
      </c>
      <c r="E219" s="66" t="s">
        <v>274</v>
      </c>
      <c r="F219" s="68">
        <v>796</v>
      </c>
      <c r="G219" s="67" t="s">
        <v>15</v>
      </c>
      <c r="H219" s="68">
        <f>8+8</f>
        <v>16</v>
      </c>
      <c r="I219" s="117">
        <v>42206501000</v>
      </c>
      <c r="J219" s="57" t="s">
        <v>30</v>
      </c>
      <c r="K219" s="62">
        <f>[1]Лист3!$F$109</f>
        <v>970.80959999999993</v>
      </c>
      <c r="L219" s="40" t="s">
        <v>12</v>
      </c>
      <c r="M219" s="39" t="s">
        <v>12</v>
      </c>
      <c r="N219" s="79" t="s">
        <v>379</v>
      </c>
      <c r="O219" s="29"/>
    </row>
    <row r="220" spans="1:15" ht="53.25" thickBot="1">
      <c r="A220" s="118">
        <f t="shared" si="3"/>
        <v>204</v>
      </c>
      <c r="B220" s="103" t="s">
        <v>339</v>
      </c>
      <c r="C220" s="74">
        <v>2695200</v>
      </c>
      <c r="D220" s="58" t="s">
        <v>103</v>
      </c>
      <c r="E220" s="70" t="s">
        <v>275</v>
      </c>
      <c r="F220" s="120">
        <v>113</v>
      </c>
      <c r="G220" s="67" t="s">
        <v>178</v>
      </c>
      <c r="H220" s="68">
        <f>0.03+0.01292+0.00626+0.0063+0.01254+0.048+0.0005+0.006+0.006+0.006+0.008+0.012+0.006+0.008+0.39+0.43+0.1+1.5+0.2+0.02+0.04+0.006+0.38+0.07+0.02+0.12+4.3+1.68</f>
        <v>9.4245199999999993</v>
      </c>
      <c r="I220" s="117">
        <v>42206501000</v>
      </c>
      <c r="J220" s="57" t="s">
        <v>30</v>
      </c>
      <c r="K220" s="62">
        <f>[1]Лист3!$F$110</f>
        <v>28264.964837759995</v>
      </c>
      <c r="L220" s="40" t="s">
        <v>12</v>
      </c>
      <c r="M220" s="39" t="s">
        <v>12</v>
      </c>
      <c r="N220" s="79" t="s">
        <v>379</v>
      </c>
      <c r="O220" s="29"/>
    </row>
    <row r="221" spans="1:15" ht="53.25" thickBot="1">
      <c r="A221" s="118">
        <f t="shared" si="3"/>
        <v>205</v>
      </c>
      <c r="B221" s="107" t="s">
        <v>361</v>
      </c>
      <c r="C221" s="77">
        <v>2917010</v>
      </c>
      <c r="D221" s="58" t="s">
        <v>103</v>
      </c>
      <c r="E221" s="69" t="s">
        <v>276</v>
      </c>
      <c r="F221" s="67">
        <v>796</v>
      </c>
      <c r="G221" s="67" t="s">
        <v>15</v>
      </c>
      <c r="H221" s="68">
        <v>1</v>
      </c>
      <c r="I221" s="117">
        <v>42206501000</v>
      </c>
      <c r="J221" s="57" t="s">
        <v>30</v>
      </c>
      <c r="K221" s="62">
        <f>[1]Лист3!$F$111</f>
        <v>35400</v>
      </c>
      <c r="L221" s="40" t="s">
        <v>12</v>
      </c>
      <c r="M221" s="39" t="s">
        <v>12</v>
      </c>
      <c r="N221" s="79" t="s">
        <v>379</v>
      </c>
      <c r="O221" s="29"/>
    </row>
    <row r="222" spans="1:15" ht="53.25" thickBot="1">
      <c r="A222" s="118">
        <f t="shared" si="3"/>
        <v>206</v>
      </c>
      <c r="B222" s="107" t="s">
        <v>332</v>
      </c>
      <c r="C222" s="77">
        <v>3120370</v>
      </c>
      <c r="D222" s="58" t="s">
        <v>103</v>
      </c>
      <c r="E222" s="66" t="s">
        <v>277</v>
      </c>
      <c r="F222" s="68">
        <v>796</v>
      </c>
      <c r="G222" s="67" t="s">
        <v>15</v>
      </c>
      <c r="H222" s="68">
        <f>8+8</f>
        <v>16</v>
      </c>
      <c r="I222" s="117">
        <v>42206501000</v>
      </c>
      <c r="J222" s="57" t="s">
        <v>30</v>
      </c>
      <c r="K222" s="62">
        <f>[1]Лист3!$F$112</f>
        <v>1581.3887999999999</v>
      </c>
      <c r="L222" s="40" t="s">
        <v>12</v>
      </c>
      <c r="M222" s="39" t="s">
        <v>12</v>
      </c>
      <c r="N222" s="79" t="s">
        <v>379</v>
      </c>
      <c r="O222" s="29"/>
    </row>
    <row r="223" spans="1:15" ht="53.25" thickBot="1">
      <c r="A223" s="118">
        <f t="shared" si="3"/>
        <v>207</v>
      </c>
      <c r="B223" s="103" t="s">
        <v>356</v>
      </c>
      <c r="C223" s="74">
        <v>2617020</v>
      </c>
      <c r="D223" s="58" t="s">
        <v>103</v>
      </c>
      <c r="E223" s="66" t="s">
        <v>278</v>
      </c>
      <c r="F223" s="68">
        <v>796</v>
      </c>
      <c r="G223" s="67" t="s">
        <v>15</v>
      </c>
      <c r="H223" s="68">
        <v>2</v>
      </c>
      <c r="I223" s="117">
        <v>42206501000</v>
      </c>
      <c r="J223" s="57" t="s">
        <v>30</v>
      </c>
      <c r="K223" s="62">
        <f>[1]Лист3!$F$113</f>
        <v>6495.5223999999998</v>
      </c>
      <c r="L223" s="40" t="s">
        <v>12</v>
      </c>
      <c r="M223" s="39" t="s">
        <v>12</v>
      </c>
      <c r="N223" s="79" t="s">
        <v>379</v>
      </c>
      <c r="O223" s="29"/>
    </row>
    <row r="224" spans="1:15" ht="53.25" thickBot="1">
      <c r="A224" s="118">
        <f t="shared" si="3"/>
        <v>208</v>
      </c>
      <c r="B224" s="103" t="s">
        <v>356</v>
      </c>
      <c r="C224" s="74">
        <v>2617020</v>
      </c>
      <c r="D224" s="58" t="s">
        <v>103</v>
      </c>
      <c r="E224" s="66" t="s">
        <v>279</v>
      </c>
      <c r="F224" s="68">
        <v>796</v>
      </c>
      <c r="G224" s="67" t="s">
        <v>15</v>
      </c>
      <c r="H224" s="68">
        <f>6+6</f>
        <v>12</v>
      </c>
      <c r="I224" s="117">
        <v>42206501000</v>
      </c>
      <c r="J224" s="57" t="s">
        <v>30</v>
      </c>
      <c r="K224" s="62">
        <f>[1]Лист3!$F$114</f>
        <v>14280.359999999999</v>
      </c>
      <c r="L224" s="40" t="s">
        <v>12</v>
      </c>
      <c r="M224" s="39" t="s">
        <v>12</v>
      </c>
      <c r="N224" s="79" t="s">
        <v>379</v>
      </c>
      <c r="O224" s="29"/>
    </row>
    <row r="225" spans="1:15" ht="53.25" thickBot="1">
      <c r="A225" s="118">
        <f t="shared" si="3"/>
        <v>209</v>
      </c>
      <c r="B225" s="103" t="s">
        <v>356</v>
      </c>
      <c r="C225" s="74">
        <v>2617020</v>
      </c>
      <c r="D225" s="58" t="s">
        <v>103</v>
      </c>
      <c r="E225" s="66" t="s">
        <v>280</v>
      </c>
      <c r="F225" s="68">
        <v>796</v>
      </c>
      <c r="G225" s="67" t="s">
        <v>15</v>
      </c>
      <c r="H225" s="68">
        <f>1+1</f>
        <v>2</v>
      </c>
      <c r="I225" s="117">
        <v>42206501000</v>
      </c>
      <c r="J225" s="57" t="s">
        <v>30</v>
      </c>
      <c r="K225" s="62">
        <f>[1]Лист3!$F$115</f>
        <v>323.90999999999997</v>
      </c>
      <c r="L225" s="40" t="s">
        <v>12</v>
      </c>
      <c r="M225" s="39" t="s">
        <v>12</v>
      </c>
      <c r="N225" s="79" t="s">
        <v>379</v>
      </c>
      <c r="O225" s="29"/>
    </row>
    <row r="226" spans="1:15" ht="53.25" thickBot="1">
      <c r="A226" s="118">
        <f t="shared" si="3"/>
        <v>210</v>
      </c>
      <c r="B226" s="107" t="s">
        <v>358</v>
      </c>
      <c r="C226" s="57">
        <v>2611030</v>
      </c>
      <c r="D226" s="58" t="s">
        <v>103</v>
      </c>
      <c r="E226" s="69" t="s">
        <v>281</v>
      </c>
      <c r="F226" s="68">
        <v>796</v>
      </c>
      <c r="G226" s="67" t="s">
        <v>15</v>
      </c>
      <c r="H226" s="68">
        <v>10</v>
      </c>
      <c r="I226" s="117">
        <v>42206501000</v>
      </c>
      <c r="J226" s="57" t="s">
        <v>30</v>
      </c>
      <c r="K226" s="62">
        <f>[1]Лист3!$F$116</f>
        <v>2749.1639999999998</v>
      </c>
      <c r="L226" s="40" t="s">
        <v>12</v>
      </c>
      <c r="M226" s="39" t="s">
        <v>12</v>
      </c>
      <c r="N226" s="79" t="s">
        <v>379</v>
      </c>
      <c r="O226" s="29"/>
    </row>
    <row r="227" spans="1:15" ht="53.25" thickBot="1">
      <c r="A227" s="118">
        <f t="shared" si="3"/>
        <v>211</v>
      </c>
      <c r="B227" s="107" t="s">
        <v>358</v>
      </c>
      <c r="C227" s="57">
        <v>2611030</v>
      </c>
      <c r="D227" s="58" t="s">
        <v>103</v>
      </c>
      <c r="E227" s="69" t="s">
        <v>282</v>
      </c>
      <c r="F227" s="68">
        <v>796</v>
      </c>
      <c r="G227" s="67" t="s">
        <v>15</v>
      </c>
      <c r="H227" s="68">
        <v>1</v>
      </c>
      <c r="I227" s="117">
        <v>42206501000</v>
      </c>
      <c r="J227" s="57" t="s">
        <v>30</v>
      </c>
      <c r="K227" s="62">
        <f>[1]Лист3!$F$117</f>
        <v>39987.839999999997</v>
      </c>
      <c r="L227" s="40" t="s">
        <v>12</v>
      </c>
      <c r="M227" s="39" t="s">
        <v>12</v>
      </c>
      <c r="N227" s="79" t="s">
        <v>379</v>
      </c>
      <c r="O227" s="29"/>
    </row>
    <row r="228" spans="1:15" ht="53.25" thickBot="1">
      <c r="A228" s="118">
        <f t="shared" si="3"/>
        <v>212</v>
      </c>
      <c r="B228" s="107" t="s">
        <v>343</v>
      </c>
      <c r="C228" s="77">
        <v>2714750</v>
      </c>
      <c r="D228" s="58" t="s">
        <v>103</v>
      </c>
      <c r="E228" s="69" t="s">
        <v>283</v>
      </c>
      <c r="F228" s="123" t="s">
        <v>450</v>
      </c>
      <c r="G228" s="67" t="s">
        <v>13</v>
      </c>
      <c r="H228" s="68">
        <v>65</v>
      </c>
      <c r="I228" s="117">
        <v>42206501000</v>
      </c>
      <c r="J228" s="57" t="s">
        <v>30</v>
      </c>
      <c r="K228" s="62">
        <f>[1]Лист3!$F$118</f>
        <v>70800.236000000004</v>
      </c>
      <c r="L228" s="40" t="s">
        <v>12</v>
      </c>
      <c r="M228" s="39" t="s">
        <v>12</v>
      </c>
      <c r="N228" s="79" t="s">
        <v>379</v>
      </c>
      <c r="O228" s="29"/>
    </row>
    <row r="229" spans="1:15" ht="53.25" thickBot="1">
      <c r="A229" s="118">
        <f t="shared" si="3"/>
        <v>213</v>
      </c>
      <c r="B229" s="107" t="s">
        <v>361</v>
      </c>
      <c r="C229" s="77">
        <v>4521121</v>
      </c>
      <c r="D229" s="58" t="s">
        <v>103</v>
      </c>
      <c r="E229" s="66" t="s">
        <v>284</v>
      </c>
      <c r="F229" s="68">
        <v>839</v>
      </c>
      <c r="G229" s="67" t="s">
        <v>285</v>
      </c>
      <c r="H229" s="68">
        <f>2+2</f>
        <v>4</v>
      </c>
      <c r="I229" s="117">
        <v>42206501000</v>
      </c>
      <c r="J229" s="57" t="s">
        <v>30</v>
      </c>
      <c r="K229" s="62">
        <f>[1]Лист3!$F$119</f>
        <v>377600</v>
      </c>
      <c r="L229" s="40" t="s">
        <v>12</v>
      </c>
      <c r="M229" s="39" t="s">
        <v>12</v>
      </c>
      <c r="N229" s="79" t="s">
        <v>379</v>
      </c>
      <c r="O229" s="29"/>
    </row>
    <row r="230" spans="1:15" ht="53.25" thickBot="1">
      <c r="A230" s="118">
        <f t="shared" si="3"/>
        <v>214</v>
      </c>
      <c r="B230" s="107" t="s">
        <v>362</v>
      </c>
      <c r="C230" s="77">
        <v>2519441</v>
      </c>
      <c r="D230" s="58" t="s">
        <v>103</v>
      </c>
      <c r="E230" s="66" t="s">
        <v>286</v>
      </c>
      <c r="F230" s="68">
        <v>166</v>
      </c>
      <c r="G230" s="68" t="s">
        <v>176</v>
      </c>
      <c r="H230" s="68">
        <f>6+0.2+27.6+0.16+0.04+0.08+0.04+0.26+0.16+0.04+0.26+0.18+1+0.3+0.04+0.5+0.03+0.9+0.08+0.08+0.82+0.1+3.28+0.5+0.2</f>
        <v>42.849999999999987</v>
      </c>
      <c r="I230" s="117">
        <v>42206501000</v>
      </c>
      <c r="J230" s="57" t="s">
        <v>30</v>
      </c>
      <c r="K230" s="62">
        <f>[1]Лист3!$F$120</f>
        <v>4628.5370199999988</v>
      </c>
      <c r="L230" s="40" t="s">
        <v>12</v>
      </c>
      <c r="M230" s="39" t="s">
        <v>12</v>
      </c>
      <c r="N230" s="79" t="s">
        <v>379</v>
      </c>
      <c r="O230" s="29"/>
    </row>
    <row r="231" spans="1:15" ht="53.25" thickBot="1">
      <c r="A231" s="118">
        <f t="shared" si="3"/>
        <v>215</v>
      </c>
      <c r="B231" s="107" t="s">
        <v>18</v>
      </c>
      <c r="C231" s="77">
        <v>2521372</v>
      </c>
      <c r="D231" s="58" t="s">
        <v>103</v>
      </c>
      <c r="E231" s="66" t="s">
        <v>287</v>
      </c>
      <c r="F231" s="123" t="s">
        <v>445</v>
      </c>
      <c r="G231" s="68" t="s">
        <v>19</v>
      </c>
      <c r="H231" s="68">
        <f>20.2+505+353.5+282.8+202+527.2</f>
        <v>1890.7</v>
      </c>
      <c r="I231" s="117">
        <v>42206501000</v>
      </c>
      <c r="J231" s="57" t="s">
        <v>30</v>
      </c>
      <c r="K231" s="62">
        <f>[1]Лист3!$F$121</f>
        <v>531653.49580000003</v>
      </c>
      <c r="L231" s="40" t="s">
        <v>63</v>
      </c>
      <c r="M231" s="39" t="s">
        <v>53</v>
      </c>
      <c r="N231" s="79" t="s">
        <v>52</v>
      </c>
      <c r="O231" s="29" t="s">
        <v>438</v>
      </c>
    </row>
    <row r="232" spans="1:15" ht="53.25" thickBot="1">
      <c r="A232" s="118">
        <f t="shared" si="3"/>
        <v>216</v>
      </c>
      <c r="B232" s="109" t="s">
        <v>338</v>
      </c>
      <c r="C232" s="77">
        <v>2715000</v>
      </c>
      <c r="D232" s="58" t="s">
        <v>103</v>
      </c>
      <c r="E232" s="69" t="s">
        <v>288</v>
      </c>
      <c r="F232" s="67">
        <v>168</v>
      </c>
      <c r="G232" s="67" t="s">
        <v>17</v>
      </c>
      <c r="H232" s="68">
        <f>0.103+0.121</f>
        <v>0.22399999999999998</v>
      </c>
      <c r="I232" s="117">
        <v>42206501000</v>
      </c>
      <c r="J232" s="57" t="s">
        <v>30</v>
      </c>
      <c r="K232" s="62">
        <f>[1]Лист3!$F$122</f>
        <v>8257.4889599999988</v>
      </c>
      <c r="L232" s="40" t="s">
        <v>12</v>
      </c>
      <c r="M232" s="39" t="s">
        <v>12</v>
      </c>
      <c r="N232" s="79" t="s">
        <v>379</v>
      </c>
      <c r="O232" s="29"/>
    </row>
    <row r="233" spans="1:15" ht="53.25" thickBot="1">
      <c r="A233" s="118">
        <f t="shared" si="3"/>
        <v>217</v>
      </c>
      <c r="B233" s="109" t="s">
        <v>338</v>
      </c>
      <c r="C233" s="77">
        <v>2715000</v>
      </c>
      <c r="D233" s="58" t="s">
        <v>103</v>
      </c>
      <c r="E233" s="69" t="s">
        <v>289</v>
      </c>
      <c r="F233" s="67">
        <v>168</v>
      </c>
      <c r="G233" s="67" t="s">
        <v>17</v>
      </c>
      <c r="H233" s="68">
        <v>0.315</v>
      </c>
      <c r="I233" s="117">
        <v>42206501000</v>
      </c>
      <c r="J233" s="57" t="s">
        <v>30</v>
      </c>
      <c r="K233" s="62">
        <f>[1]Лист3!$F$123</f>
        <v>12596.169599999999</v>
      </c>
      <c r="L233" s="40" t="s">
        <v>12</v>
      </c>
      <c r="M233" s="39" t="s">
        <v>12</v>
      </c>
      <c r="N233" s="79" t="s">
        <v>379</v>
      </c>
      <c r="O233" s="29"/>
    </row>
    <row r="234" spans="1:15" ht="53.25" thickBot="1">
      <c r="A234" s="118">
        <f t="shared" si="3"/>
        <v>218</v>
      </c>
      <c r="B234" s="107" t="s">
        <v>18</v>
      </c>
      <c r="C234" s="77">
        <v>2521372</v>
      </c>
      <c r="D234" s="58" t="s">
        <v>103</v>
      </c>
      <c r="E234" s="69" t="s">
        <v>290</v>
      </c>
      <c r="F234" s="123" t="s">
        <v>445</v>
      </c>
      <c r="G234" s="67" t="s">
        <v>19</v>
      </c>
      <c r="H234" s="68">
        <v>1562</v>
      </c>
      <c r="I234" s="117">
        <v>42206501000</v>
      </c>
      <c r="J234" s="57" t="s">
        <v>30</v>
      </c>
      <c r="K234" s="62">
        <f>[1]Лист3!$F$124</f>
        <v>4684575.4559999993</v>
      </c>
      <c r="L234" s="40" t="s">
        <v>63</v>
      </c>
      <c r="M234" s="39" t="s">
        <v>53</v>
      </c>
      <c r="N234" s="79" t="s">
        <v>416</v>
      </c>
      <c r="O234" s="29" t="s">
        <v>438</v>
      </c>
    </row>
    <row r="235" spans="1:15" ht="53.25" thickBot="1">
      <c r="A235" s="118">
        <f t="shared" si="3"/>
        <v>219</v>
      </c>
      <c r="B235" s="107" t="s">
        <v>18</v>
      </c>
      <c r="C235" s="77">
        <v>2521372</v>
      </c>
      <c r="D235" s="58" t="s">
        <v>103</v>
      </c>
      <c r="E235" s="69" t="s">
        <v>291</v>
      </c>
      <c r="F235" s="123" t="s">
        <v>445</v>
      </c>
      <c r="G235" s="67" t="s">
        <v>19</v>
      </c>
      <c r="H235" s="68">
        <v>40.159999999999997</v>
      </c>
      <c r="I235" s="117">
        <v>42206501000</v>
      </c>
      <c r="J235" s="57" t="s">
        <v>30</v>
      </c>
      <c r="K235" s="62">
        <f>[1]Лист3!$F$125</f>
        <v>6634.4319999999989</v>
      </c>
      <c r="L235" s="40" t="s">
        <v>12</v>
      </c>
      <c r="M235" s="39" t="s">
        <v>12</v>
      </c>
      <c r="N235" s="79" t="s">
        <v>379</v>
      </c>
      <c r="O235" s="29"/>
    </row>
    <row r="236" spans="1:15" ht="53.25" thickBot="1">
      <c r="A236" s="118">
        <f t="shared" si="3"/>
        <v>220</v>
      </c>
      <c r="B236" s="109" t="s">
        <v>338</v>
      </c>
      <c r="C236" s="77">
        <v>2715000</v>
      </c>
      <c r="D236" s="58" t="s">
        <v>103</v>
      </c>
      <c r="E236" s="69" t="s">
        <v>292</v>
      </c>
      <c r="F236" s="67">
        <v>168</v>
      </c>
      <c r="G236" s="67" t="s">
        <v>17</v>
      </c>
      <c r="H236" s="68">
        <v>0.3206</v>
      </c>
      <c r="I236" s="117">
        <v>42206501000</v>
      </c>
      <c r="J236" s="57" t="s">
        <v>30</v>
      </c>
      <c r="K236" s="62">
        <f>[1]Лист3!$F$126</f>
        <v>17061.6908</v>
      </c>
      <c r="L236" s="40" t="s">
        <v>12</v>
      </c>
      <c r="M236" s="39" t="s">
        <v>12</v>
      </c>
      <c r="N236" s="79" t="s">
        <v>379</v>
      </c>
      <c r="O236" s="29"/>
    </row>
    <row r="237" spans="1:15" ht="53.25" thickBot="1">
      <c r="A237" s="118">
        <f t="shared" si="3"/>
        <v>221</v>
      </c>
      <c r="B237" s="109" t="s">
        <v>338</v>
      </c>
      <c r="C237" s="77">
        <v>2715000</v>
      </c>
      <c r="D237" s="58" t="s">
        <v>103</v>
      </c>
      <c r="E237" s="69" t="s">
        <v>293</v>
      </c>
      <c r="F237" s="67">
        <v>166</v>
      </c>
      <c r="G237" s="67" t="s">
        <v>176</v>
      </c>
      <c r="H237" s="68">
        <v>0.11600000000000001</v>
      </c>
      <c r="I237" s="117">
        <v>42206501000</v>
      </c>
      <c r="J237" s="57" t="s">
        <v>30</v>
      </c>
      <c r="K237" s="62">
        <f>[1]Лист3!$F$127</f>
        <v>5073.4571999999998</v>
      </c>
      <c r="L237" s="40" t="s">
        <v>12</v>
      </c>
      <c r="M237" s="39" t="s">
        <v>12</v>
      </c>
      <c r="N237" s="79" t="s">
        <v>379</v>
      </c>
      <c r="O237" s="29"/>
    </row>
    <row r="238" spans="1:15" ht="53.25" thickBot="1">
      <c r="A238" s="118">
        <f t="shared" si="3"/>
        <v>222</v>
      </c>
      <c r="B238" s="107" t="s">
        <v>18</v>
      </c>
      <c r="C238" s="77">
        <v>2521372</v>
      </c>
      <c r="D238" s="58" t="s">
        <v>103</v>
      </c>
      <c r="E238" s="69" t="s">
        <v>294</v>
      </c>
      <c r="F238" s="123" t="s">
        <v>445</v>
      </c>
      <c r="G238" s="67" t="s">
        <v>19</v>
      </c>
      <c r="H238" s="68">
        <f>363.6+252.5+262.6+85.85+120+212.1+202</f>
        <v>1498.65</v>
      </c>
      <c r="I238" s="117">
        <v>42206501000</v>
      </c>
      <c r="J238" s="57" t="s">
        <v>30</v>
      </c>
      <c r="K238" s="62">
        <f>[1]Лист3!$F$128</f>
        <v>133903.77804</v>
      </c>
      <c r="L238" s="40" t="s">
        <v>12</v>
      </c>
      <c r="M238" s="39" t="s">
        <v>12</v>
      </c>
      <c r="N238" s="79" t="s">
        <v>379</v>
      </c>
      <c r="O238" s="29"/>
    </row>
    <row r="239" spans="1:15" ht="53.25" thickBot="1">
      <c r="A239" s="118">
        <f t="shared" si="3"/>
        <v>223</v>
      </c>
      <c r="B239" s="107" t="s">
        <v>18</v>
      </c>
      <c r="C239" s="77">
        <v>2521372</v>
      </c>
      <c r="D239" s="58" t="s">
        <v>103</v>
      </c>
      <c r="E239" s="69" t="s">
        <v>295</v>
      </c>
      <c r="F239" s="123" t="s">
        <v>445</v>
      </c>
      <c r="G239" s="67" t="s">
        <v>19</v>
      </c>
      <c r="H239" s="68">
        <v>10.039999999999999</v>
      </c>
      <c r="I239" s="117">
        <v>42206501000</v>
      </c>
      <c r="J239" s="57" t="s">
        <v>30</v>
      </c>
      <c r="K239" s="62">
        <f>[1]Лист3!$F$129</f>
        <v>2369.4399999999996</v>
      </c>
      <c r="L239" s="40" t="s">
        <v>12</v>
      </c>
      <c r="M239" s="39" t="s">
        <v>12</v>
      </c>
      <c r="N239" s="79" t="s">
        <v>379</v>
      </c>
      <c r="O239" s="29"/>
    </row>
    <row r="240" spans="1:15" ht="53.25" thickBot="1">
      <c r="A240" s="118">
        <f t="shared" si="3"/>
        <v>224</v>
      </c>
      <c r="B240" s="107" t="s">
        <v>18</v>
      </c>
      <c r="C240" s="77">
        <v>2521372</v>
      </c>
      <c r="D240" s="58" t="s">
        <v>103</v>
      </c>
      <c r="E240" s="69" t="s">
        <v>296</v>
      </c>
      <c r="F240" s="123" t="s">
        <v>445</v>
      </c>
      <c r="G240" s="67" t="s">
        <v>19</v>
      </c>
      <c r="H240" s="68">
        <v>200</v>
      </c>
      <c r="I240" s="117">
        <v>42206501000</v>
      </c>
      <c r="J240" s="57" t="s">
        <v>30</v>
      </c>
      <c r="K240" s="62">
        <f>[1]Лист3!$F$130</f>
        <v>37052</v>
      </c>
      <c r="L240" s="40" t="s">
        <v>12</v>
      </c>
      <c r="M240" s="39" t="s">
        <v>12</v>
      </c>
      <c r="N240" s="79" t="s">
        <v>379</v>
      </c>
      <c r="O240" s="29"/>
    </row>
    <row r="241" spans="1:15" ht="53.25" thickBot="1">
      <c r="A241" s="118">
        <f t="shared" si="3"/>
        <v>225</v>
      </c>
      <c r="B241" s="109" t="s">
        <v>338</v>
      </c>
      <c r="C241" s="77">
        <v>2715000</v>
      </c>
      <c r="D241" s="58" t="s">
        <v>103</v>
      </c>
      <c r="E241" s="66" t="s">
        <v>297</v>
      </c>
      <c r="F241" s="68">
        <v>168</v>
      </c>
      <c r="G241" s="67" t="s">
        <v>17</v>
      </c>
      <c r="H241" s="68">
        <v>1.0999999999999999E-2</v>
      </c>
      <c r="I241" s="117">
        <v>42206501000</v>
      </c>
      <c r="J241" s="57" t="s">
        <v>30</v>
      </c>
      <c r="K241" s="62">
        <f>[1]Лист3!$F$131</f>
        <v>405.50168999999994</v>
      </c>
      <c r="L241" s="40" t="s">
        <v>12</v>
      </c>
      <c r="M241" s="39" t="s">
        <v>12</v>
      </c>
      <c r="N241" s="79" t="s">
        <v>379</v>
      </c>
      <c r="O241" s="29"/>
    </row>
    <row r="242" spans="1:15" ht="53.25" thickBot="1">
      <c r="A242" s="118">
        <f t="shared" si="3"/>
        <v>226</v>
      </c>
      <c r="B242" s="109" t="s">
        <v>338</v>
      </c>
      <c r="C242" s="77">
        <v>2715000</v>
      </c>
      <c r="D242" s="58" t="s">
        <v>103</v>
      </c>
      <c r="E242" s="69" t="s">
        <v>298</v>
      </c>
      <c r="F242" s="123" t="s">
        <v>445</v>
      </c>
      <c r="G242" s="67" t="s">
        <v>19</v>
      </c>
      <c r="H242" s="68">
        <v>70</v>
      </c>
      <c r="I242" s="117">
        <v>42206501000</v>
      </c>
      <c r="J242" s="57" t="s">
        <v>30</v>
      </c>
      <c r="K242" s="62">
        <f>[1]Лист3!$F$132</f>
        <v>34989.360000000001</v>
      </c>
      <c r="L242" s="40" t="s">
        <v>12</v>
      </c>
      <c r="M242" s="39" t="s">
        <v>12</v>
      </c>
      <c r="N242" s="79" t="s">
        <v>379</v>
      </c>
      <c r="O242" s="29"/>
    </row>
    <row r="243" spans="1:15" ht="53.25" thickBot="1">
      <c r="A243" s="118">
        <f t="shared" si="3"/>
        <v>227</v>
      </c>
      <c r="B243" s="109" t="s">
        <v>338</v>
      </c>
      <c r="C243" s="77">
        <v>2715000</v>
      </c>
      <c r="D243" s="58" t="s">
        <v>103</v>
      </c>
      <c r="E243" s="69" t="s">
        <v>299</v>
      </c>
      <c r="F243" s="123" t="s">
        <v>445</v>
      </c>
      <c r="G243" s="67" t="s">
        <v>19</v>
      </c>
      <c r="H243" s="68">
        <v>25</v>
      </c>
      <c r="I243" s="117">
        <v>42206501000</v>
      </c>
      <c r="J243" s="57" t="s">
        <v>30</v>
      </c>
      <c r="K243" s="62">
        <f>[1]Лист3!$F$133</f>
        <v>17713.275000000001</v>
      </c>
      <c r="L243" s="40" t="s">
        <v>12</v>
      </c>
      <c r="M243" s="39" t="s">
        <v>12</v>
      </c>
      <c r="N243" s="79" t="s">
        <v>379</v>
      </c>
      <c r="O243" s="29"/>
    </row>
    <row r="244" spans="1:15" ht="53.25" thickBot="1">
      <c r="A244" s="118">
        <f t="shared" si="3"/>
        <v>228</v>
      </c>
      <c r="B244" s="109" t="s">
        <v>338</v>
      </c>
      <c r="C244" s="77">
        <v>2715000</v>
      </c>
      <c r="D244" s="58" t="s">
        <v>103</v>
      </c>
      <c r="E244" s="69" t="s">
        <v>300</v>
      </c>
      <c r="F244" s="123" t="s">
        <v>445</v>
      </c>
      <c r="G244" s="67" t="s">
        <v>19</v>
      </c>
      <c r="H244" s="68">
        <v>10</v>
      </c>
      <c r="I244" s="117">
        <v>42206501000</v>
      </c>
      <c r="J244" s="57" t="s">
        <v>30</v>
      </c>
      <c r="K244" s="62">
        <f>[1]Лист3!$F$134</f>
        <v>12604.17</v>
      </c>
      <c r="L244" s="40" t="s">
        <v>12</v>
      </c>
      <c r="M244" s="39" t="s">
        <v>12</v>
      </c>
      <c r="N244" s="79" t="s">
        <v>379</v>
      </c>
      <c r="O244" s="29"/>
    </row>
    <row r="245" spans="1:15" ht="53.25" thickBot="1">
      <c r="A245" s="118">
        <f t="shared" si="3"/>
        <v>229</v>
      </c>
      <c r="B245" s="109" t="s">
        <v>338</v>
      </c>
      <c r="C245" s="77">
        <v>2715000</v>
      </c>
      <c r="D245" s="58" t="s">
        <v>103</v>
      </c>
      <c r="E245" s="66" t="s">
        <v>301</v>
      </c>
      <c r="F245" s="123" t="s">
        <v>445</v>
      </c>
      <c r="G245" s="68" t="s">
        <v>19</v>
      </c>
      <c r="H245" s="68">
        <f>0.4+80+0.4+0.4+0.4+0.4+0.4+0.4+0.8+0.8</f>
        <v>84.400000000000034</v>
      </c>
      <c r="I245" s="117">
        <v>42206501000</v>
      </c>
      <c r="J245" s="57" t="s">
        <v>30</v>
      </c>
      <c r="K245" s="62">
        <f>[1]Лист3!$F$135</f>
        <v>42187.171200000019</v>
      </c>
      <c r="L245" s="40" t="s">
        <v>12</v>
      </c>
      <c r="M245" s="39" t="s">
        <v>12</v>
      </c>
      <c r="N245" s="79" t="s">
        <v>379</v>
      </c>
      <c r="O245" s="29"/>
    </row>
    <row r="246" spans="1:15" ht="53.25" thickBot="1">
      <c r="A246" s="118">
        <f t="shared" si="3"/>
        <v>230</v>
      </c>
      <c r="B246" s="109" t="s">
        <v>338</v>
      </c>
      <c r="C246" s="77">
        <v>2715000</v>
      </c>
      <c r="D246" s="58" t="s">
        <v>103</v>
      </c>
      <c r="E246" s="66" t="s">
        <v>302</v>
      </c>
      <c r="F246" s="123" t="s">
        <v>445</v>
      </c>
      <c r="G246" s="68" t="s">
        <v>19</v>
      </c>
      <c r="H246" s="68">
        <f>35.14+40.16+0.4+0.4+0.4+50</f>
        <v>126.50000000000001</v>
      </c>
      <c r="I246" s="117">
        <v>42206501000</v>
      </c>
      <c r="J246" s="57" t="s">
        <v>30</v>
      </c>
      <c r="K246" s="62">
        <f>[1]Лист3!$F$136</f>
        <v>20897.800000000003</v>
      </c>
      <c r="L246" s="40" t="s">
        <v>12</v>
      </c>
      <c r="M246" s="39" t="s">
        <v>12</v>
      </c>
      <c r="N246" s="79" t="s">
        <v>379</v>
      </c>
      <c r="O246" s="29"/>
    </row>
    <row r="247" spans="1:15" ht="53.25" thickBot="1">
      <c r="A247" s="118">
        <f t="shared" si="3"/>
        <v>231</v>
      </c>
      <c r="B247" s="109" t="s">
        <v>338</v>
      </c>
      <c r="C247" s="77">
        <v>2715000</v>
      </c>
      <c r="D247" s="58" t="s">
        <v>103</v>
      </c>
      <c r="E247" s="66" t="s">
        <v>303</v>
      </c>
      <c r="F247" s="123" t="s">
        <v>445</v>
      </c>
      <c r="G247" s="68" t="s">
        <v>19</v>
      </c>
      <c r="H247" s="68">
        <f>80+20.08</f>
        <v>100.08</v>
      </c>
      <c r="I247" s="117">
        <v>42206501000</v>
      </c>
      <c r="J247" s="57" t="s">
        <v>30</v>
      </c>
      <c r="K247" s="62">
        <f>[1]Лист3!$F$137</f>
        <v>23878.687679999999</v>
      </c>
      <c r="L247" s="40" t="s">
        <v>12</v>
      </c>
      <c r="M247" s="39" t="s">
        <v>12</v>
      </c>
      <c r="N247" s="79" t="s">
        <v>379</v>
      </c>
      <c r="O247" s="29"/>
    </row>
    <row r="248" spans="1:15" ht="53.25" thickBot="1">
      <c r="A248" s="118">
        <f t="shared" si="3"/>
        <v>232</v>
      </c>
      <c r="B248" s="107" t="s">
        <v>18</v>
      </c>
      <c r="C248" s="77">
        <v>2521372</v>
      </c>
      <c r="D248" s="58" t="s">
        <v>103</v>
      </c>
      <c r="E248" s="66" t="s">
        <v>304</v>
      </c>
      <c r="F248" s="123" t="s">
        <v>445</v>
      </c>
      <c r="G248" s="67" t="s">
        <v>19</v>
      </c>
      <c r="H248" s="68">
        <v>60.6</v>
      </c>
      <c r="I248" s="117">
        <v>42206501000</v>
      </c>
      <c r="J248" s="57" t="s">
        <v>30</v>
      </c>
      <c r="K248" s="62">
        <f>[1]Лист3!$F$138</f>
        <v>17433.650399999999</v>
      </c>
      <c r="L248" s="40" t="s">
        <v>12</v>
      </c>
      <c r="M248" s="39" t="s">
        <v>12</v>
      </c>
      <c r="N248" s="79" t="s">
        <v>379</v>
      </c>
      <c r="O248" s="29"/>
    </row>
    <row r="249" spans="1:15" ht="53.25" thickBot="1">
      <c r="A249" s="118">
        <f t="shared" si="3"/>
        <v>233</v>
      </c>
      <c r="B249" s="107" t="s">
        <v>18</v>
      </c>
      <c r="C249" s="77">
        <v>2521372</v>
      </c>
      <c r="D249" s="58" t="s">
        <v>103</v>
      </c>
      <c r="E249" s="66" t="s">
        <v>305</v>
      </c>
      <c r="F249" s="123" t="s">
        <v>445</v>
      </c>
      <c r="G249" s="67" t="s">
        <v>19</v>
      </c>
      <c r="H249" s="68">
        <v>101</v>
      </c>
      <c r="I249" s="117">
        <v>42206501000</v>
      </c>
      <c r="J249" s="57" t="s">
        <v>30</v>
      </c>
      <c r="K249" s="62">
        <f>[1]Лист3!$F$139</f>
        <v>71508</v>
      </c>
      <c r="L249" s="40" t="s">
        <v>12</v>
      </c>
      <c r="M249" s="39" t="s">
        <v>12</v>
      </c>
      <c r="N249" s="79" t="s">
        <v>379</v>
      </c>
      <c r="O249" s="29"/>
    </row>
    <row r="250" spans="1:15" ht="53.25" thickBot="1">
      <c r="A250" s="118">
        <f t="shared" si="3"/>
        <v>234</v>
      </c>
      <c r="B250" s="107" t="s">
        <v>361</v>
      </c>
      <c r="C250" s="77">
        <v>3211403</v>
      </c>
      <c r="D250" s="58" t="s">
        <v>103</v>
      </c>
      <c r="E250" s="66" t="s">
        <v>306</v>
      </c>
      <c r="F250" s="68">
        <v>796</v>
      </c>
      <c r="G250" s="67" t="s">
        <v>15</v>
      </c>
      <c r="H250" s="68">
        <f>2+2</f>
        <v>4</v>
      </c>
      <c r="I250" s="117">
        <v>42206501000</v>
      </c>
      <c r="J250" s="57" t="s">
        <v>30</v>
      </c>
      <c r="K250" s="62">
        <f>[1]Лист3!$F$140</f>
        <v>472</v>
      </c>
      <c r="L250" s="40" t="s">
        <v>12</v>
      </c>
      <c r="M250" s="39" t="s">
        <v>12</v>
      </c>
      <c r="N250" s="79" t="s">
        <v>379</v>
      </c>
      <c r="O250" s="29"/>
    </row>
    <row r="251" spans="1:15" ht="53.25" thickBot="1">
      <c r="A251" s="118">
        <f t="shared" si="3"/>
        <v>235</v>
      </c>
      <c r="B251" s="107" t="s">
        <v>363</v>
      </c>
      <c r="C251" s="77">
        <v>2713020</v>
      </c>
      <c r="D251" s="58" t="s">
        <v>103</v>
      </c>
      <c r="E251" s="69" t="s">
        <v>307</v>
      </c>
      <c r="F251" s="68">
        <v>796</v>
      </c>
      <c r="G251" s="67" t="s">
        <v>15</v>
      </c>
      <c r="H251" s="68">
        <v>0.2</v>
      </c>
      <c r="I251" s="117">
        <v>42206501000</v>
      </c>
      <c r="J251" s="57" t="s">
        <v>30</v>
      </c>
      <c r="K251" s="62">
        <f>[1]Лист3!$F$141</f>
        <v>5900</v>
      </c>
      <c r="L251" s="40" t="s">
        <v>12</v>
      </c>
      <c r="M251" s="39" t="s">
        <v>12</v>
      </c>
      <c r="N251" s="79" t="s">
        <v>379</v>
      </c>
      <c r="O251" s="29"/>
    </row>
    <row r="252" spans="1:15" ht="53.25" thickBot="1">
      <c r="A252" s="118">
        <f t="shared" si="3"/>
        <v>236</v>
      </c>
      <c r="B252" s="107" t="s">
        <v>363</v>
      </c>
      <c r="C252" s="77">
        <v>2713020</v>
      </c>
      <c r="D252" s="58" t="s">
        <v>103</v>
      </c>
      <c r="E252" s="69" t="s">
        <v>308</v>
      </c>
      <c r="F252" s="67">
        <v>168</v>
      </c>
      <c r="G252" s="67" t="s">
        <v>17</v>
      </c>
      <c r="H252" s="68">
        <f>0.03+0.2+0.03+0.05</f>
        <v>0.31</v>
      </c>
      <c r="I252" s="117">
        <v>42206501000</v>
      </c>
      <c r="J252" s="57" t="s">
        <v>30</v>
      </c>
      <c r="K252" s="62">
        <f>[1]Лист3!$F$142</f>
        <v>10016.541545399999</v>
      </c>
      <c r="L252" s="40" t="s">
        <v>12</v>
      </c>
      <c r="M252" s="39" t="s">
        <v>12</v>
      </c>
      <c r="N252" s="79" t="s">
        <v>379</v>
      </c>
      <c r="O252" s="29"/>
    </row>
    <row r="253" spans="1:15" ht="53.25" thickBot="1">
      <c r="A253" s="118">
        <f t="shared" si="3"/>
        <v>237</v>
      </c>
      <c r="B253" s="107" t="s">
        <v>363</v>
      </c>
      <c r="C253" s="77">
        <v>2713020</v>
      </c>
      <c r="D253" s="58" t="s">
        <v>103</v>
      </c>
      <c r="E253" s="70" t="s">
        <v>309</v>
      </c>
      <c r="F253" s="120">
        <v>168</v>
      </c>
      <c r="G253" s="67" t="s">
        <v>17</v>
      </c>
      <c r="H253" s="68">
        <v>0.1</v>
      </c>
      <c r="I253" s="117">
        <v>42206501000</v>
      </c>
      <c r="J253" s="57" t="s">
        <v>30</v>
      </c>
      <c r="K253" s="62">
        <f>[1]Лист3!$F$143</f>
        <v>3199.0272000000004</v>
      </c>
      <c r="L253" s="40" t="s">
        <v>12</v>
      </c>
      <c r="M253" s="39" t="s">
        <v>12</v>
      </c>
      <c r="N253" s="79" t="s">
        <v>379</v>
      </c>
      <c r="O253" s="29"/>
    </row>
    <row r="254" spans="1:15" ht="53.25" thickBot="1">
      <c r="A254" s="118">
        <f t="shared" si="3"/>
        <v>238</v>
      </c>
      <c r="B254" s="107" t="s">
        <v>363</v>
      </c>
      <c r="C254" s="77">
        <v>2713020</v>
      </c>
      <c r="D254" s="58" t="s">
        <v>103</v>
      </c>
      <c r="E254" s="69" t="s">
        <v>310</v>
      </c>
      <c r="F254" s="67">
        <v>168</v>
      </c>
      <c r="G254" s="67" t="s">
        <v>17</v>
      </c>
      <c r="H254" s="68">
        <v>0.3</v>
      </c>
      <c r="I254" s="117">
        <v>42206501000</v>
      </c>
      <c r="J254" s="57" t="s">
        <v>30</v>
      </c>
      <c r="K254" s="62">
        <f>[1]Лист3!$F$144</f>
        <v>9916.2479999999996</v>
      </c>
      <c r="L254" s="40" t="s">
        <v>12</v>
      </c>
      <c r="M254" s="39" t="s">
        <v>12</v>
      </c>
      <c r="N254" s="79" t="s">
        <v>379</v>
      </c>
      <c r="O254" s="29"/>
    </row>
    <row r="255" spans="1:15" ht="53.25" thickBot="1">
      <c r="A255" s="118">
        <f t="shared" si="3"/>
        <v>239</v>
      </c>
      <c r="B255" s="107" t="s">
        <v>363</v>
      </c>
      <c r="C255" s="77">
        <v>2713020</v>
      </c>
      <c r="D255" s="58" t="s">
        <v>103</v>
      </c>
      <c r="E255" s="69" t="s">
        <v>311</v>
      </c>
      <c r="F255" s="67">
        <v>168</v>
      </c>
      <c r="G255" s="67" t="s">
        <v>17</v>
      </c>
      <c r="H255" s="68">
        <f>0.04+0.019+0.04</f>
        <v>9.9000000000000005E-2</v>
      </c>
      <c r="I255" s="117">
        <v>42206501000</v>
      </c>
      <c r="J255" s="57" t="s">
        <v>30</v>
      </c>
      <c r="K255" s="62">
        <f>[1]Лист3!$F$145</f>
        <v>3465.4311885599996</v>
      </c>
      <c r="L255" s="40" t="s">
        <v>12</v>
      </c>
      <c r="M255" s="39" t="s">
        <v>12</v>
      </c>
      <c r="N255" s="79" t="s">
        <v>379</v>
      </c>
      <c r="O255" s="29"/>
    </row>
    <row r="256" spans="1:15" ht="53.25" thickBot="1">
      <c r="A256" s="118">
        <f t="shared" si="3"/>
        <v>240</v>
      </c>
      <c r="B256" s="107" t="s">
        <v>363</v>
      </c>
      <c r="C256" s="77">
        <v>2713020</v>
      </c>
      <c r="D256" s="58" t="s">
        <v>103</v>
      </c>
      <c r="E256" s="70" t="s">
        <v>312</v>
      </c>
      <c r="F256" s="120">
        <v>168</v>
      </c>
      <c r="G256" s="67" t="s">
        <v>17</v>
      </c>
      <c r="H256" s="68">
        <f>0.2+0.18+0.2</f>
        <v>0.58000000000000007</v>
      </c>
      <c r="I256" s="117">
        <v>42206501000</v>
      </c>
      <c r="J256" s="57" t="s">
        <v>30</v>
      </c>
      <c r="K256" s="62">
        <f>[1]Лист3!$F$146</f>
        <v>18445.640820000001</v>
      </c>
      <c r="L256" s="40" t="s">
        <v>12</v>
      </c>
      <c r="M256" s="39" t="s">
        <v>12</v>
      </c>
      <c r="N256" s="79" t="s">
        <v>379</v>
      </c>
      <c r="O256" s="29"/>
    </row>
    <row r="257" spans="1:15" ht="53.25" thickBot="1">
      <c r="A257" s="118">
        <f t="shared" si="3"/>
        <v>241</v>
      </c>
      <c r="B257" s="107" t="s">
        <v>361</v>
      </c>
      <c r="C257" s="77">
        <v>3211403</v>
      </c>
      <c r="D257" s="58" t="s">
        <v>103</v>
      </c>
      <c r="E257" s="72" t="s">
        <v>313</v>
      </c>
      <c r="F257" s="67">
        <v>796</v>
      </c>
      <c r="G257" s="67" t="s">
        <v>15</v>
      </c>
      <c r="H257" s="67">
        <f>1+1</f>
        <v>2</v>
      </c>
      <c r="I257" s="117">
        <v>42206501000</v>
      </c>
      <c r="J257" s="57" t="s">
        <v>30</v>
      </c>
      <c r="K257" s="62">
        <f>[1]Лист3!$F$147</f>
        <v>35400</v>
      </c>
      <c r="L257" s="40" t="s">
        <v>12</v>
      </c>
      <c r="M257" s="39" t="s">
        <v>12</v>
      </c>
      <c r="N257" s="79" t="s">
        <v>379</v>
      </c>
      <c r="O257" s="29"/>
    </row>
    <row r="258" spans="1:15" ht="53.25" thickBot="1">
      <c r="A258" s="118">
        <f t="shared" si="3"/>
        <v>242</v>
      </c>
      <c r="B258" s="107" t="s">
        <v>345</v>
      </c>
      <c r="C258" s="57">
        <v>2611030</v>
      </c>
      <c r="D258" s="58" t="s">
        <v>103</v>
      </c>
      <c r="E258" s="66" t="s">
        <v>314</v>
      </c>
      <c r="F258" s="67">
        <v>796</v>
      </c>
      <c r="G258" s="68" t="s">
        <v>15</v>
      </c>
      <c r="H258" s="68">
        <f>12+4+4+8+4+16+2</f>
        <v>50</v>
      </c>
      <c r="I258" s="117">
        <v>42206501000</v>
      </c>
      <c r="J258" s="57" t="s">
        <v>30</v>
      </c>
      <c r="K258" s="62">
        <f>[1]Лист3!$F$148</f>
        <v>22805.86</v>
      </c>
      <c r="L258" s="40" t="s">
        <v>12</v>
      </c>
      <c r="M258" s="39" t="s">
        <v>12</v>
      </c>
      <c r="N258" s="79" t="s">
        <v>379</v>
      </c>
      <c r="O258" s="29"/>
    </row>
    <row r="259" spans="1:15" ht="53.25" thickBot="1">
      <c r="A259" s="118">
        <f t="shared" si="3"/>
        <v>243</v>
      </c>
      <c r="B259" s="107" t="s">
        <v>345</v>
      </c>
      <c r="C259" s="57">
        <v>2611030</v>
      </c>
      <c r="D259" s="58" t="s">
        <v>103</v>
      </c>
      <c r="E259" s="69" t="s">
        <v>315</v>
      </c>
      <c r="F259" s="67">
        <v>796</v>
      </c>
      <c r="G259" s="67" t="s">
        <v>15</v>
      </c>
      <c r="H259" s="68">
        <f>10+9</f>
        <v>19</v>
      </c>
      <c r="I259" s="117">
        <v>42206501000</v>
      </c>
      <c r="J259" s="57" t="s">
        <v>30</v>
      </c>
      <c r="K259" s="62">
        <f>[1]Лист3!$F$149</f>
        <v>22436.814999999999</v>
      </c>
      <c r="L259" s="40" t="s">
        <v>12</v>
      </c>
      <c r="M259" s="39" t="s">
        <v>12</v>
      </c>
      <c r="N259" s="79" t="s">
        <v>379</v>
      </c>
      <c r="O259" s="29"/>
    </row>
    <row r="260" spans="1:15" ht="53.25" thickBot="1">
      <c r="A260" s="118">
        <f t="shared" si="3"/>
        <v>244</v>
      </c>
      <c r="B260" s="107" t="s">
        <v>345</v>
      </c>
      <c r="C260" s="57">
        <v>2611030</v>
      </c>
      <c r="D260" s="58" t="s">
        <v>103</v>
      </c>
      <c r="E260" s="69" t="s">
        <v>316</v>
      </c>
      <c r="F260" s="67">
        <v>796</v>
      </c>
      <c r="G260" s="67" t="s">
        <v>15</v>
      </c>
      <c r="H260" s="68">
        <v>4</v>
      </c>
      <c r="I260" s="117">
        <v>42206501000</v>
      </c>
      <c r="J260" s="57" t="s">
        <v>30</v>
      </c>
      <c r="K260" s="62">
        <f>[1]Лист3!$F$150</f>
        <v>5664</v>
      </c>
      <c r="L260" s="40" t="s">
        <v>12</v>
      </c>
      <c r="M260" s="39" t="s">
        <v>12</v>
      </c>
      <c r="N260" s="79" t="s">
        <v>379</v>
      </c>
      <c r="O260" s="29"/>
    </row>
    <row r="261" spans="1:15" ht="53.25" thickBot="1">
      <c r="A261" s="118">
        <f t="shared" si="3"/>
        <v>245</v>
      </c>
      <c r="B261" s="107" t="s">
        <v>345</v>
      </c>
      <c r="C261" s="57">
        <v>2611030</v>
      </c>
      <c r="D261" s="58" t="s">
        <v>103</v>
      </c>
      <c r="E261" s="69" t="s">
        <v>317</v>
      </c>
      <c r="F261" s="67">
        <v>796</v>
      </c>
      <c r="G261" s="67" t="s">
        <v>15</v>
      </c>
      <c r="H261" s="68">
        <v>6</v>
      </c>
      <c r="I261" s="117">
        <v>42206501000</v>
      </c>
      <c r="J261" s="57" t="s">
        <v>30</v>
      </c>
      <c r="K261" s="62">
        <f>[1]Лист3!$F$151</f>
        <v>15062.912399999999</v>
      </c>
      <c r="L261" s="40" t="s">
        <v>12</v>
      </c>
      <c r="M261" s="39" t="s">
        <v>12</v>
      </c>
      <c r="N261" s="79" t="s">
        <v>379</v>
      </c>
      <c r="O261" s="29"/>
    </row>
    <row r="262" spans="1:15" ht="53.25" thickBot="1">
      <c r="A262" s="118">
        <f t="shared" si="3"/>
        <v>246</v>
      </c>
      <c r="B262" s="107" t="s">
        <v>345</v>
      </c>
      <c r="C262" s="57">
        <v>2611030</v>
      </c>
      <c r="D262" s="58" t="s">
        <v>103</v>
      </c>
      <c r="E262" s="66" t="s">
        <v>318</v>
      </c>
      <c r="F262" s="67">
        <v>796</v>
      </c>
      <c r="G262" s="68" t="s">
        <v>15</v>
      </c>
      <c r="H262" s="68">
        <f>8+8+4+4+8+8</f>
        <v>40</v>
      </c>
      <c r="I262" s="117">
        <v>42206501000</v>
      </c>
      <c r="J262" s="57" t="s">
        <v>30</v>
      </c>
      <c r="K262" s="62">
        <f>[1]Лист3!$F$152</f>
        <v>10006.4</v>
      </c>
      <c r="L262" s="40" t="s">
        <v>12</v>
      </c>
      <c r="M262" s="39" t="s">
        <v>12</v>
      </c>
      <c r="N262" s="79" t="s">
        <v>379</v>
      </c>
      <c r="O262" s="29"/>
    </row>
    <row r="263" spans="1:15" ht="53.25" thickBot="1">
      <c r="A263" s="118">
        <f t="shared" si="3"/>
        <v>247</v>
      </c>
      <c r="B263" s="107" t="s">
        <v>345</v>
      </c>
      <c r="C263" s="57">
        <v>2611030</v>
      </c>
      <c r="D263" s="58" t="s">
        <v>103</v>
      </c>
      <c r="E263" s="69" t="s">
        <v>319</v>
      </c>
      <c r="F263" s="67">
        <v>796</v>
      </c>
      <c r="G263" s="67" t="s">
        <v>15</v>
      </c>
      <c r="H263" s="68">
        <v>2</v>
      </c>
      <c r="I263" s="117">
        <v>42206501000</v>
      </c>
      <c r="J263" s="57" t="s">
        <v>30</v>
      </c>
      <c r="K263" s="62">
        <f>[1]Лист3!$F$153</f>
        <v>14245.668</v>
      </c>
      <c r="L263" s="40" t="s">
        <v>12</v>
      </c>
      <c r="M263" s="39" t="s">
        <v>12</v>
      </c>
      <c r="N263" s="79" t="s">
        <v>379</v>
      </c>
      <c r="O263" s="29"/>
    </row>
    <row r="264" spans="1:15" ht="53.25" thickBot="1">
      <c r="A264" s="118">
        <f t="shared" si="3"/>
        <v>248</v>
      </c>
      <c r="B264" s="107" t="s">
        <v>345</v>
      </c>
      <c r="C264" s="57">
        <v>2611030</v>
      </c>
      <c r="D264" s="58" t="s">
        <v>103</v>
      </c>
      <c r="E264" s="69" t="s">
        <v>320</v>
      </c>
      <c r="F264" s="67">
        <v>796</v>
      </c>
      <c r="G264" s="67" t="s">
        <v>15</v>
      </c>
      <c r="H264" s="68">
        <v>12</v>
      </c>
      <c r="I264" s="117">
        <v>42206501000</v>
      </c>
      <c r="J264" s="57" t="s">
        <v>30</v>
      </c>
      <c r="K264" s="62">
        <f>[1]Лист3!$F$154</f>
        <v>3304.944</v>
      </c>
      <c r="L264" s="40" t="s">
        <v>12</v>
      </c>
      <c r="M264" s="39" t="s">
        <v>12</v>
      </c>
      <c r="N264" s="79" t="s">
        <v>379</v>
      </c>
      <c r="O264" s="29"/>
    </row>
    <row r="265" spans="1:15" ht="53.25" thickBot="1">
      <c r="A265" s="118">
        <f t="shared" si="3"/>
        <v>249</v>
      </c>
      <c r="B265" s="107" t="s">
        <v>345</v>
      </c>
      <c r="C265" s="57">
        <v>2611030</v>
      </c>
      <c r="D265" s="58" t="s">
        <v>103</v>
      </c>
      <c r="E265" s="69" t="s">
        <v>321</v>
      </c>
      <c r="F265" s="67">
        <v>796</v>
      </c>
      <c r="G265" s="67" t="s">
        <v>15</v>
      </c>
      <c r="H265" s="68">
        <v>8</v>
      </c>
      <c r="I265" s="117">
        <v>42206501000</v>
      </c>
      <c r="J265" s="57" t="s">
        <v>30</v>
      </c>
      <c r="K265" s="62">
        <f>[1]Лист3!$F$155</f>
        <v>8897.2943999999989</v>
      </c>
      <c r="L265" s="40" t="s">
        <v>12</v>
      </c>
      <c r="M265" s="39" t="s">
        <v>12</v>
      </c>
      <c r="N265" s="79" t="s">
        <v>379</v>
      </c>
      <c r="O265" s="29"/>
    </row>
    <row r="266" spans="1:15" ht="53.25" thickBot="1">
      <c r="A266" s="118">
        <f t="shared" si="3"/>
        <v>250</v>
      </c>
      <c r="B266" s="107" t="s">
        <v>345</v>
      </c>
      <c r="C266" s="57">
        <v>2611030</v>
      </c>
      <c r="D266" s="58" t="s">
        <v>103</v>
      </c>
      <c r="E266" s="69" t="s">
        <v>322</v>
      </c>
      <c r="F266" s="67">
        <v>796</v>
      </c>
      <c r="G266" s="67" t="s">
        <v>15</v>
      </c>
      <c r="H266" s="68">
        <v>88</v>
      </c>
      <c r="I266" s="117">
        <v>42206501000</v>
      </c>
      <c r="J266" s="57" t="s">
        <v>30</v>
      </c>
      <c r="K266" s="62">
        <f>[1]Лист3!$F$156</f>
        <v>4672.8</v>
      </c>
      <c r="L266" s="40" t="s">
        <v>12</v>
      </c>
      <c r="M266" s="39" t="s">
        <v>12</v>
      </c>
      <c r="N266" s="79" t="s">
        <v>379</v>
      </c>
      <c r="O266" s="29"/>
    </row>
    <row r="267" spans="1:15" ht="53.25" thickBot="1">
      <c r="A267" s="118">
        <f t="shared" si="3"/>
        <v>251</v>
      </c>
      <c r="B267" s="107" t="s">
        <v>344</v>
      </c>
      <c r="C267" s="77">
        <v>2694110</v>
      </c>
      <c r="D267" s="58" t="s">
        <v>103</v>
      </c>
      <c r="E267" s="66" t="s">
        <v>323</v>
      </c>
      <c r="F267" s="68">
        <v>168</v>
      </c>
      <c r="G267" s="67" t="s">
        <v>17</v>
      </c>
      <c r="H267" s="67">
        <f>0.00136+2.5+0.4</f>
        <v>2.9013599999999999</v>
      </c>
      <c r="I267" s="117">
        <v>42206501000</v>
      </c>
      <c r="J267" s="57" t="s">
        <v>30</v>
      </c>
      <c r="K267" s="62">
        <f>[1]Лист3!$F$157</f>
        <v>14172.491374272</v>
      </c>
      <c r="L267" s="40" t="s">
        <v>12</v>
      </c>
      <c r="M267" s="39" t="s">
        <v>12</v>
      </c>
      <c r="N267" s="79" t="s">
        <v>379</v>
      </c>
      <c r="O267" s="29"/>
    </row>
    <row r="268" spans="1:15" ht="53.25" thickBot="1">
      <c r="A268" s="118">
        <f t="shared" si="3"/>
        <v>252</v>
      </c>
      <c r="B268" s="103" t="s">
        <v>357</v>
      </c>
      <c r="C268" s="74">
        <v>2712140</v>
      </c>
      <c r="D268" s="58" t="s">
        <v>103</v>
      </c>
      <c r="E268" s="66" t="s">
        <v>324</v>
      </c>
      <c r="F268" s="68">
        <v>168</v>
      </c>
      <c r="G268" s="67" t="s">
        <v>17</v>
      </c>
      <c r="H268" s="68">
        <f>0.5+0.07</f>
        <v>0.57000000000000006</v>
      </c>
      <c r="I268" s="117">
        <v>42206501000</v>
      </c>
      <c r="J268" s="57" t="s">
        <v>30</v>
      </c>
      <c r="K268" s="62">
        <f>[1]Лист3!$F$158</f>
        <v>19445.336819999997</v>
      </c>
      <c r="L268" s="40" t="s">
        <v>12</v>
      </c>
      <c r="M268" s="39" t="s">
        <v>12</v>
      </c>
      <c r="N268" s="79" t="s">
        <v>379</v>
      </c>
      <c r="O268" s="29"/>
    </row>
    <row r="269" spans="1:15" ht="53.25" thickBot="1">
      <c r="A269" s="118">
        <f t="shared" si="3"/>
        <v>253</v>
      </c>
      <c r="B269" s="103" t="s">
        <v>357</v>
      </c>
      <c r="C269" s="74">
        <v>2712140</v>
      </c>
      <c r="D269" s="58" t="s">
        <v>103</v>
      </c>
      <c r="E269" s="69" t="s">
        <v>325</v>
      </c>
      <c r="F269" s="68">
        <v>168</v>
      </c>
      <c r="G269" s="67" t="s">
        <v>17</v>
      </c>
      <c r="H269" s="68">
        <v>0.3</v>
      </c>
      <c r="I269" s="117">
        <v>42206501000</v>
      </c>
      <c r="J269" s="57" t="s">
        <v>30</v>
      </c>
      <c r="K269" s="62">
        <f>[1]Лист3!$F$159</f>
        <v>9660.66</v>
      </c>
      <c r="L269" s="40" t="s">
        <v>12</v>
      </c>
      <c r="M269" s="39" t="s">
        <v>12</v>
      </c>
      <c r="N269" s="79" t="s">
        <v>379</v>
      </c>
      <c r="O269" s="29"/>
    </row>
    <row r="270" spans="1:15" ht="53.25" thickBot="1">
      <c r="A270" s="118">
        <f t="shared" si="3"/>
        <v>254</v>
      </c>
      <c r="B270" s="109" t="s">
        <v>364</v>
      </c>
      <c r="C270" s="77">
        <v>1413160</v>
      </c>
      <c r="D270" s="58" t="s">
        <v>103</v>
      </c>
      <c r="E270" s="69" t="s">
        <v>326</v>
      </c>
      <c r="F270" s="67">
        <v>113</v>
      </c>
      <c r="G270" s="67" t="s">
        <v>178</v>
      </c>
      <c r="H270" s="68">
        <f>1.3+2.6+2.62+5.2+40</f>
        <v>51.72</v>
      </c>
      <c r="I270" s="117">
        <v>42206501000</v>
      </c>
      <c r="J270" s="57" t="s">
        <v>30</v>
      </c>
      <c r="K270" s="62">
        <f>[1]Лист3!$F$160</f>
        <v>28378.763999999999</v>
      </c>
      <c r="L270" s="40" t="s">
        <v>12</v>
      </c>
      <c r="M270" s="39" t="s">
        <v>12</v>
      </c>
      <c r="N270" s="79" t="s">
        <v>379</v>
      </c>
      <c r="O270" s="29"/>
    </row>
    <row r="271" spans="1:15" ht="53.25" thickBot="1">
      <c r="A271" s="118">
        <f t="shared" si="3"/>
        <v>255</v>
      </c>
      <c r="B271" s="109" t="s">
        <v>365</v>
      </c>
      <c r="C271" s="77">
        <v>3110000</v>
      </c>
      <c r="D271" s="58" t="s">
        <v>103</v>
      </c>
      <c r="E271" s="66" t="s">
        <v>327</v>
      </c>
      <c r="F271" s="68">
        <v>796</v>
      </c>
      <c r="G271" s="67" t="s">
        <v>15</v>
      </c>
      <c r="H271" s="68">
        <v>1</v>
      </c>
      <c r="I271" s="117">
        <v>42206501000</v>
      </c>
      <c r="J271" s="57" t="s">
        <v>30</v>
      </c>
      <c r="K271" s="62">
        <f>[1]Лист3!$F$161</f>
        <v>59000</v>
      </c>
      <c r="L271" s="40" t="s">
        <v>12</v>
      </c>
      <c r="M271" s="39" t="s">
        <v>12</v>
      </c>
      <c r="N271" s="79" t="s">
        <v>379</v>
      </c>
      <c r="O271" s="29"/>
    </row>
    <row r="272" spans="1:15" ht="53.25" thickBot="1">
      <c r="A272" s="118">
        <f t="shared" si="3"/>
        <v>256</v>
      </c>
      <c r="B272" s="109" t="s">
        <v>365</v>
      </c>
      <c r="C272" s="77">
        <v>3110000</v>
      </c>
      <c r="D272" s="58" t="s">
        <v>103</v>
      </c>
      <c r="E272" s="66" t="s">
        <v>328</v>
      </c>
      <c r="F272" s="68">
        <v>796</v>
      </c>
      <c r="G272" s="67" t="s">
        <v>15</v>
      </c>
      <c r="H272" s="68">
        <v>1</v>
      </c>
      <c r="I272" s="117">
        <v>42206501000</v>
      </c>
      <c r="J272" s="57" t="s">
        <v>30</v>
      </c>
      <c r="K272" s="62">
        <f>[1]Лист3!$F$162</f>
        <v>151040</v>
      </c>
      <c r="L272" s="40" t="s">
        <v>12</v>
      </c>
      <c r="M272" s="39" t="s">
        <v>12</v>
      </c>
      <c r="N272" s="79" t="s">
        <v>379</v>
      </c>
      <c r="O272" s="29"/>
    </row>
    <row r="273" spans="1:15" ht="53.25" thickBot="1">
      <c r="A273" s="118">
        <f t="shared" si="3"/>
        <v>257</v>
      </c>
      <c r="B273" s="107" t="s">
        <v>345</v>
      </c>
      <c r="C273" s="77">
        <v>2714710</v>
      </c>
      <c r="D273" s="58" t="s">
        <v>103</v>
      </c>
      <c r="E273" s="66" t="s">
        <v>329</v>
      </c>
      <c r="F273" s="68">
        <v>166</v>
      </c>
      <c r="G273" s="68" t="s">
        <v>176</v>
      </c>
      <c r="H273" s="68">
        <f>14.2+0.3+1+0.8+1+17+1.38+1+17+32+10+16.5+12+10+5+0.7+4+0.3+0.4+0.5+22+3+9.91+4</f>
        <v>183.99</v>
      </c>
      <c r="I273" s="117">
        <v>42206501000</v>
      </c>
      <c r="J273" s="57" t="s">
        <v>30</v>
      </c>
      <c r="K273" s="62">
        <f>[1]Лист3!$F$163</f>
        <v>15560.822071584</v>
      </c>
      <c r="L273" s="40" t="s">
        <v>12</v>
      </c>
      <c r="M273" s="39" t="s">
        <v>12</v>
      </c>
      <c r="N273" s="79" t="s">
        <v>379</v>
      </c>
      <c r="O273" s="29"/>
    </row>
    <row r="274" spans="1:15" ht="53.25" thickBot="1">
      <c r="A274" s="118">
        <f t="shared" si="3"/>
        <v>258</v>
      </c>
      <c r="B274" s="107" t="s">
        <v>345</v>
      </c>
      <c r="C274" s="77">
        <v>2714710</v>
      </c>
      <c r="D274" s="58" t="s">
        <v>103</v>
      </c>
      <c r="E274" s="71" t="s">
        <v>329</v>
      </c>
      <c r="F274" s="68">
        <v>166</v>
      </c>
      <c r="G274" s="67" t="s">
        <v>176</v>
      </c>
      <c r="H274" s="68">
        <v>23</v>
      </c>
      <c r="I274" s="117">
        <v>42206501000</v>
      </c>
      <c r="J274" s="57" t="s">
        <v>30</v>
      </c>
      <c r="K274" s="62">
        <f>[1]Лист3!$F$164</f>
        <v>1945.2084767999997</v>
      </c>
      <c r="L274" s="40" t="s">
        <v>12</v>
      </c>
      <c r="M274" s="39" t="s">
        <v>12</v>
      </c>
      <c r="N274" s="79" t="s">
        <v>379</v>
      </c>
      <c r="O274" s="29"/>
    </row>
    <row r="275" spans="1:15" ht="53.25" thickBot="1">
      <c r="A275" s="118">
        <f t="shared" ref="A275:A276" si="4">A274+1</f>
        <v>259</v>
      </c>
      <c r="B275" s="109" t="s">
        <v>365</v>
      </c>
      <c r="C275" s="77">
        <v>2949140</v>
      </c>
      <c r="D275" s="58" t="s">
        <v>103</v>
      </c>
      <c r="E275" s="70" t="s">
        <v>330</v>
      </c>
      <c r="F275" s="120">
        <v>796</v>
      </c>
      <c r="G275" s="67" t="s">
        <v>15</v>
      </c>
      <c r="H275" s="68">
        <v>2</v>
      </c>
      <c r="I275" s="117">
        <v>42206501000</v>
      </c>
      <c r="J275" s="57" t="s">
        <v>30</v>
      </c>
      <c r="K275" s="62">
        <f>[1]Лист3!$F$165</f>
        <v>162450.6</v>
      </c>
      <c r="L275" s="40" t="s">
        <v>12</v>
      </c>
      <c r="M275" s="39" t="s">
        <v>12</v>
      </c>
      <c r="N275" s="79" t="s">
        <v>379</v>
      </c>
      <c r="O275" s="29"/>
    </row>
    <row r="276" spans="1:15" ht="53.25" thickBot="1">
      <c r="A276" s="118">
        <f t="shared" si="4"/>
        <v>260</v>
      </c>
      <c r="B276" s="109" t="s">
        <v>365</v>
      </c>
      <c r="C276" s="77">
        <v>2949140</v>
      </c>
      <c r="D276" s="58" t="s">
        <v>103</v>
      </c>
      <c r="E276" s="70" t="s">
        <v>330</v>
      </c>
      <c r="F276" s="120">
        <v>796</v>
      </c>
      <c r="G276" s="67" t="s">
        <v>15</v>
      </c>
      <c r="H276" s="68">
        <v>1</v>
      </c>
      <c r="I276" s="117">
        <v>42206501000</v>
      </c>
      <c r="J276" s="57" t="s">
        <v>30</v>
      </c>
      <c r="K276" s="62">
        <f>[1]Лист3!$F$166</f>
        <v>99969.599999999991</v>
      </c>
      <c r="L276" s="40" t="s">
        <v>12</v>
      </c>
      <c r="M276" s="39" t="s">
        <v>12</v>
      </c>
      <c r="N276" s="79" t="s">
        <v>379</v>
      </c>
      <c r="O276" s="29"/>
    </row>
    <row r="277" spans="1:15" ht="52.5">
      <c r="A277" s="118">
        <f>A276+1</f>
        <v>261</v>
      </c>
      <c r="B277" s="109" t="s">
        <v>365</v>
      </c>
      <c r="C277" s="77">
        <v>3120210</v>
      </c>
      <c r="D277" s="58" t="s">
        <v>103</v>
      </c>
      <c r="E277" s="69" t="s">
        <v>331</v>
      </c>
      <c r="F277" s="120">
        <v>796</v>
      </c>
      <c r="G277" s="67" t="s">
        <v>15</v>
      </c>
      <c r="H277" s="68">
        <v>8</v>
      </c>
      <c r="I277" s="117">
        <v>42206501000</v>
      </c>
      <c r="J277" s="57" t="s">
        <v>30</v>
      </c>
      <c r="K277" s="86">
        <f>[1]Лист3!$F$167</f>
        <v>1083712</v>
      </c>
      <c r="L277" s="40" t="s">
        <v>63</v>
      </c>
      <c r="M277" s="39" t="s">
        <v>53</v>
      </c>
      <c r="N277" s="87" t="s">
        <v>416</v>
      </c>
      <c r="O277" s="29" t="s">
        <v>438</v>
      </c>
    </row>
    <row r="278" spans="1:15" ht="53.25">
      <c r="A278" s="118">
        <f>A277+1</f>
        <v>262</v>
      </c>
      <c r="B278" s="109" t="s">
        <v>365</v>
      </c>
      <c r="C278" s="77">
        <v>3120210</v>
      </c>
      <c r="D278" s="58" t="s">
        <v>103</v>
      </c>
      <c r="E278" s="69" t="s">
        <v>331</v>
      </c>
      <c r="F278" s="120">
        <v>796</v>
      </c>
      <c r="G278" s="67" t="s">
        <v>15</v>
      </c>
      <c r="H278" s="68">
        <v>2</v>
      </c>
      <c r="I278" s="117">
        <v>42206501000</v>
      </c>
      <c r="J278" s="57" t="s">
        <v>30</v>
      </c>
      <c r="K278" s="62">
        <f>[1]Лист3!$F$168</f>
        <v>349280</v>
      </c>
      <c r="L278" s="28" t="s">
        <v>12</v>
      </c>
      <c r="M278" s="23" t="s">
        <v>12</v>
      </c>
      <c r="N278" s="64" t="s">
        <v>379</v>
      </c>
      <c r="O278" s="23"/>
    </row>
    <row r="279" spans="1:15" ht="53.25">
      <c r="A279" s="118">
        <f>A278+1</f>
        <v>263</v>
      </c>
      <c r="B279" s="109" t="s">
        <v>451</v>
      </c>
      <c r="C279" s="77">
        <v>7422090</v>
      </c>
      <c r="D279" s="58" t="s">
        <v>453</v>
      </c>
      <c r="E279" s="69" t="s">
        <v>452</v>
      </c>
      <c r="F279" s="120">
        <v>876</v>
      </c>
      <c r="G279" s="67" t="s">
        <v>62</v>
      </c>
      <c r="H279" s="68">
        <v>1</v>
      </c>
      <c r="I279" s="117">
        <v>42206501000</v>
      </c>
      <c r="J279" s="57" t="s">
        <v>30</v>
      </c>
      <c r="K279" s="62" t="s">
        <v>454</v>
      </c>
      <c r="L279" s="28" t="s">
        <v>455</v>
      </c>
      <c r="M279" s="23" t="s">
        <v>12</v>
      </c>
      <c r="N279" s="64" t="s">
        <v>379</v>
      </c>
      <c r="O279" s="23"/>
    </row>
    <row r="280" spans="1:15" ht="53.25">
      <c r="A280" s="118">
        <f>A279+1</f>
        <v>264</v>
      </c>
      <c r="B280" s="109" t="s">
        <v>456</v>
      </c>
      <c r="C280" s="77">
        <v>4510040</v>
      </c>
      <c r="D280" s="58" t="s">
        <v>457</v>
      </c>
      <c r="E280" s="199" t="s">
        <v>458</v>
      </c>
      <c r="F280" s="120">
        <v>796</v>
      </c>
      <c r="G280" s="67" t="s">
        <v>9</v>
      </c>
      <c r="H280" s="68">
        <v>1</v>
      </c>
      <c r="I280" s="117">
        <v>42206501000</v>
      </c>
      <c r="J280" s="57" t="s">
        <v>459</v>
      </c>
      <c r="K280" s="62" t="s">
        <v>460</v>
      </c>
      <c r="L280" s="28" t="s">
        <v>455</v>
      </c>
      <c r="M280" s="23" t="s">
        <v>12</v>
      </c>
      <c r="N280" s="64" t="s">
        <v>379</v>
      </c>
      <c r="O280" s="23"/>
    </row>
    <row r="281" spans="1:15">
      <c r="B281" s="30"/>
      <c r="C281" s="30"/>
      <c r="D281" s="11"/>
      <c r="E281" s="11"/>
      <c r="F281" s="11"/>
      <c r="G281" s="10"/>
      <c r="H281" s="10"/>
      <c r="I281" s="10"/>
      <c r="J281" s="10"/>
      <c r="K281" s="10"/>
      <c r="L281" s="12"/>
      <c r="M281" s="10"/>
      <c r="N281" s="10"/>
      <c r="O281" s="10"/>
    </row>
    <row r="282" spans="1:15">
      <c r="B282" s="30"/>
      <c r="C282" s="30"/>
      <c r="D282" s="11"/>
      <c r="E282" s="11"/>
      <c r="F282" s="11"/>
      <c r="G282" s="10"/>
      <c r="H282" s="10"/>
      <c r="I282" s="10"/>
      <c r="J282" s="10"/>
      <c r="K282" s="10"/>
      <c r="L282" s="12"/>
      <c r="M282" s="10"/>
      <c r="N282" s="10"/>
      <c r="O282" s="10"/>
    </row>
    <row r="283" spans="1:15" s="93" customFormat="1" ht="15.75">
      <c r="B283" s="88"/>
      <c r="C283" s="89" t="s">
        <v>417</v>
      </c>
      <c r="D283" s="90"/>
      <c r="E283" s="90"/>
      <c r="F283" s="90"/>
      <c r="G283" s="91"/>
      <c r="H283" s="91"/>
      <c r="I283" s="91"/>
      <c r="J283" s="91"/>
      <c r="K283" s="91"/>
      <c r="L283" s="92"/>
      <c r="M283" s="91"/>
      <c r="N283" s="91"/>
      <c r="O283" s="91"/>
    </row>
    <row r="284" spans="1:15" customFormat="1">
      <c r="B284" s="1"/>
      <c r="C284" s="6" t="s">
        <v>22</v>
      </c>
      <c r="D284" s="3"/>
      <c r="E284" s="3"/>
      <c r="F284" s="3"/>
      <c r="G284" s="2"/>
      <c r="H284" s="2"/>
      <c r="I284" s="2"/>
      <c r="J284" s="2"/>
      <c r="K284" s="2"/>
      <c r="L284" s="4"/>
      <c r="M284" s="2"/>
      <c r="N284" s="2"/>
      <c r="O284" s="2"/>
    </row>
    <row r="285" spans="1:15" customFormat="1">
      <c r="B285" s="1"/>
      <c r="C285" s="6" t="s">
        <v>23</v>
      </c>
      <c r="D285" s="3"/>
      <c r="E285" s="3"/>
      <c r="F285" s="3"/>
      <c r="G285" s="2"/>
      <c r="H285" s="2"/>
      <c r="I285" s="2"/>
      <c r="J285" s="2"/>
      <c r="K285" s="2"/>
      <c r="L285" s="4"/>
      <c r="M285" s="2"/>
      <c r="N285" s="2"/>
      <c r="O285" s="2"/>
    </row>
    <row r="286" spans="1:15" customFormat="1" ht="15.75">
      <c r="B286" s="1"/>
      <c r="C286" s="5" t="s">
        <v>24</v>
      </c>
      <c r="D286" s="3"/>
      <c r="E286" s="3"/>
      <c r="F286" s="3"/>
      <c r="G286" s="2"/>
      <c r="H286" s="2"/>
      <c r="I286" s="2"/>
      <c r="J286" s="2"/>
      <c r="K286" s="2"/>
      <c r="L286" s="4"/>
      <c r="M286" s="2"/>
      <c r="N286" s="2"/>
      <c r="O286" s="2"/>
    </row>
    <row r="287" spans="1:15">
      <c r="B287" s="30"/>
      <c r="C287" s="30"/>
      <c r="D287" s="11"/>
      <c r="E287" s="11"/>
      <c r="F287" s="11"/>
      <c r="G287" s="10"/>
      <c r="H287" s="10"/>
      <c r="I287" s="10"/>
      <c r="J287" s="10"/>
      <c r="K287" s="10"/>
      <c r="L287" s="12"/>
      <c r="M287" s="10"/>
      <c r="N287" s="10"/>
      <c r="O287" s="10"/>
    </row>
    <row r="288" spans="1:15">
      <c r="B288" s="30"/>
      <c r="C288" s="30"/>
      <c r="D288" s="11"/>
      <c r="E288" s="11"/>
      <c r="F288" s="11"/>
      <c r="G288" s="10"/>
      <c r="H288" s="10"/>
      <c r="I288" s="10"/>
      <c r="J288" s="10"/>
      <c r="K288" s="10"/>
      <c r="L288" s="12"/>
      <c r="M288" s="10"/>
      <c r="N288" s="10"/>
      <c r="O288" s="10"/>
    </row>
    <row r="289" spans="2:15">
      <c r="B289" s="30"/>
      <c r="C289" s="30"/>
      <c r="D289" s="11"/>
      <c r="E289" s="11"/>
      <c r="F289" s="11"/>
      <c r="G289" s="10"/>
      <c r="H289" s="10"/>
      <c r="I289" s="10"/>
      <c r="J289" s="10"/>
      <c r="K289" s="10"/>
      <c r="L289" s="12"/>
      <c r="M289" s="10"/>
      <c r="N289" s="10"/>
      <c r="O289" s="10"/>
    </row>
    <row r="290" spans="2:15">
      <c r="B290" s="30"/>
      <c r="C290" s="30"/>
      <c r="D290" s="11"/>
      <c r="E290" s="11"/>
      <c r="F290" s="11"/>
      <c r="G290" s="10"/>
      <c r="H290" s="10"/>
      <c r="I290" s="10"/>
      <c r="J290" s="10"/>
      <c r="K290" s="10"/>
      <c r="L290" s="12"/>
      <c r="M290" s="10"/>
      <c r="N290" s="10"/>
      <c r="O290" s="10"/>
    </row>
    <row r="291" spans="2:15">
      <c r="B291" s="30"/>
      <c r="C291" s="30"/>
      <c r="D291" s="11"/>
      <c r="E291" s="11"/>
      <c r="F291" s="11"/>
      <c r="G291" s="10"/>
      <c r="H291" s="10"/>
      <c r="I291" s="10"/>
      <c r="J291" s="10"/>
      <c r="K291" s="10"/>
      <c r="L291" s="12"/>
      <c r="M291" s="10"/>
      <c r="N291" s="10"/>
      <c r="O291" s="10"/>
    </row>
    <row r="292" spans="2:15">
      <c r="B292" s="30"/>
      <c r="C292" s="30"/>
      <c r="D292" s="11"/>
      <c r="E292" s="11"/>
      <c r="F292" s="11"/>
      <c r="G292" s="10"/>
      <c r="H292" s="10"/>
      <c r="I292" s="10"/>
      <c r="J292" s="10"/>
      <c r="K292" s="10"/>
      <c r="L292" s="12"/>
      <c r="M292" s="10"/>
      <c r="N292" s="10"/>
      <c r="O292" s="10"/>
    </row>
    <row r="293" spans="2:15">
      <c r="B293" s="30"/>
      <c r="C293" s="30"/>
      <c r="D293" s="11"/>
      <c r="E293" s="11"/>
      <c r="F293" s="11"/>
      <c r="G293" s="10"/>
      <c r="H293" s="10"/>
      <c r="I293" s="10"/>
      <c r="J293" s="10"/>
      <c r="K293" s="10"/>
      <c r="L293" s="12"/>
      <c r="M293" s="10"/>
      <c r="N293" s="10"/>
      <c r="O293" s="10"/>
    </row>
    <row r="294" spans="2:15">
      <c r="B294" s="30"/>
      <c r="C294" s="30"/>
      <c r="D294" s="11"/>
      <c r="E294" s="11"/>
      <c r="F294" s="11"/>
      <c r="G294" s="10"/>
      <c r="H294" s="10"/>
      <c r="I294" s="10"/>
      <c r="J294" s="10"/>
      <c r="K294" s="10"/>
      <c r="L294" s="12"/>
      <c r="M294" s="10"/>
      <c r="N294" s="10"/>
      <c r="O294" s="10"/>
    </row>
    <row r="295" spans="2:15">
      <c r="B295" s="30"/>
      <c r="C295" s="30"/>
      <c r="D295" s="11"/>
      <c r="E295" s="11"/>
      <c r="F295" s="11"/>
      <c r="G295" s="10"/>
      <c r="H295" s="10"/>
      <c r="I295" s="10"/>
      <c r="J295" s="10"/>
      <c r="K295" s="10"/>
      <c r="L295" s="12"/>
      <c r="M295" s="10"/>
      <c r="N295" s="10"/>
      <c r="O295" s="10"/>
    </row>
    <row r="296" spans="2:15">
      <c r="B296" s="30"/>
      <c r="C296" s="30"/>
      <c r="D296" s="11"/>
      <c r="E296" s="11"/>
      <c r="F296" s="11"/>
      <c r="G296" s="10"/>
      <c r="H296" s="10"/>
      <c r="I296" s="10"/>
      <c r="J296" s="10"/>
      <c r="K296" s="10"/>
      <c r="L296" s="12"/>
      <c r="M296" s="10"/>
      <c r="N296" s="10"/>
      <c r="O296" s="10"/>
    </row>
    <row r="297" spans="2:15">
      <c r="B297" s="30"/>
      <c r="C297" s="30"/>
      <c r="D297" s="11"/>
      <c r="E297" s="11"/>
      <c r="F297" s="11"/>
      <c r="G297" s="10"/>
      <c r="H297" s="10"/>
      <c r="I297" s="10"/>
      <c r="J297" s="10"/>
      <c r="K297" s="10"/>
      <c r="L297" s="12"/>
      <c r="M297" s="10"/>
      <c r="N297" s="10"/>
      <c r="O297" s="10"/>
    </row>
    <row r="298" spans="2:15">
      <c r="B298" s="30"/>
      <c r="C298" s="30"/>
      <c r="D298" s="11"/>
      <c r="E298" s="11"/>
      <c r="F298" s="11"/>
      <c r="G298" s="10"/>
      <c r="H298" s="10"/>
      <c r="I298" s="10"/>
      <c r="J298" s="10"/>
      <c r="K298" s="10"/>
      <c r="L298" s="12"/>
      <c r="M298" s="10"/>
      <c r="N298" s="10"/>
      <c r="O298" s="10"/>
    </row>
    <row r="299" spans="2:15">
      <c r="B299" s="30"/>
      <c r="C299" s="30"/>
      <c r="D299" s="11"/>
      <c r="E299" s="11"/>
      <c r="F299" s="11"/>
      <c r="G299" s="10"/>
      <c r="H299" s="10"/>
      <c r="I299" s="10"/>
      <c r="J299" s="10"/>
      <c r="K299" s="10"/>
      <c r="L299" s="12"/>
      <c r="M299" s="10"/>
      <c r="N299" s="10"/>
      <c r="O299" s="10"/>
    </row>
    <row r="300" spans="2:15">
      <c r="B300" s="30"/>
      <c r="C300" s="30"/>
      <c r="D300" s="11"/>
      <c r="E300" s="11"/>
      <c r="F300" s="11"/>
      <c r="G300" s="10"/>
      <c r="H300" s="10"/>
      <c r="I300" s="10"/>
      <c r="J300" s="10"/>
      <c r="K300" s="10"/>
      <c r="L300" s="12"/>
      <c r="M300" s="10"/>
      <c r="N300" s="10"/>
      <c r="O300" s="10"/>
    </row>
    <row r="301" spans="2:15">
      <c r="B301" s="30"/>
      <c r="C301" s="30"/>
      <c r="D301" s="11"/>
      <c r="E301" s="11"/>
      <c r="F301" s="11"/>
      <c r="G301" s="10"/>
      <c r="H301" s="10"/>
      <c r="I301" s="10"/>
      <c r="J301" s="10"/>
      <c r="K301" s="10"/>
      <c r="L301" s="12"/>
      <c r="M301" s="10"/>
      <c r="N301" s="10"/>
      <c r="O301" s="10"/>
    </row>
    <row r="302" spans="2:15">
      <c r="B302" s="30"/>
      <c r="C302" s="30"/>
      <c r="D302" s="11"/>
      <c r="E302" s="11"/>
      <c r="F302" s="11"/>
      <c r="G302" s="10"/>
      <c r="H302" s="10"/>
      <c r="I302" s="10"/>
      <c r="J302" s="10"/>
      <c r="K302" s="10"/>
      <c r="L302" s="12"/>
      <c r="M302" s="10"/>
      <c r="N302" s="10"/>
      <c r="O302" s="10"/>
    </row>
    <row r="303" spans="2:15">
      <c r="B303" s="30"/>
      <c r="C303" s="30"/>
      <c r="D303" s="11"/>
      <c r="E303" s="11"/>
      <c r="F303" s="11"/>
      <c r="G303" s="10"/>
      <c r="H303" s="10"/>
      <c r="I303" s="10"/>
      <c r="J303" s="10"/>
      <c r="K303" s="10"/>
      <c r="L303" s="12"/>
      <c r="M303" s="10"/>
      <c r="N303" s="10"/>
      <c r="O303" s="10"/>
    </row>
    <row r="304" spans="2:15">
      <c r="B304" s="30"/>
      <c r="C304" s="30"/>
      <c r="D304" s="11"/>
      <c r="E304" s="11"/>
      <c r="F304" s="11"/>
      <c r="G304" s="10"/>
      <c r="H304" s="10"/>
      <c r="I304" s="10"/>
      <c r="J304" s="10"/>
      <c r="K304" s="10"/>
      <c r="L304" s="12"/>
      <c r="M304" s="10"/>
      <c r="N304" s="10"/>
      <c r="O304" s="10"/>
    </row>
    <row r="305" spans="2:15">
      <c r="B305" s="30"/>
      <c r="C305" s="30"/>
      <c r="D305" s="11"/>
      <c r="E305" s="11"/>
      <c r="F305" s="11"/>
      <c r="G305" s="10"/>
      <c r="H305" s="10"/>
      <c r="I305" s="10"/>
      <c r="J305" s="10"/>
      <c r="K305" s="10"/>
      <c r="L305" s="12"/>
      <c r="M305" s="10"/>
      <c r="N305" s="10"/>
      <c r="O305" s="10"/>
    </row>
    <row r="306" spans="2:15">
      <c r="B306" s="30"/>
      <c r="C306" s="30"/>
      <c r="D306" s="11"/>
      <c r="E306" s="11"/>
      <c r="F306" s="11"/>
      <c r="G306" s="10"/>
      <c r="H306" s="10"/>
      <c r="I306" s="10"/>
      <c r="J306" s="10"/>
      <c r="K306" s="10"/>
      <c r="L306" s="12"/>
      <c r="M306" s="10"/>
      <c r="N306" s="10"/>
      <c r="O306" s="10"/>
    </row>
    <row r="307" spans="2:15">
      <c r="B307" s="30"/>
      <c r="C307" s="30"/>
      <c r="D307" s="11"/>
      <c r="E307" s="11"/>
      <c r="F307" s="11"/>
      <c r="G307" s="10"/>
      <c r="H307" s="10"/>
      <c r="I307" s="10"/>
      <c r="J307" s="10"/>
      <c r="K307" s="10"/>
      <c r="L307" s="12"/>
      <c r="M307" s="10"/>
      <c r="N307" s="10"/>
      <c r="O307" s="10"/>
    </row>
    <row r="308" spans="2:15">
      <c r="B308" s="30"/>
      <c r="C308" s="30"/>
      <c r="D308" s="11"/>
      <c r="E308" s="11"/>
      <c r="F308" s="11"/>
      <c r="G308" s="10"/>
      <c r="H308" s="10"/>
      <c r="I308" s="10"/>
      <c r="J308" s="10"/>
      <c r="K308" s="10"/>
      <c r="L308" s="12"/>
      <c r="M308" s="10"/>
      <c r="N308" s="10"/>
      <c r="O308" s="10"/>
    </row>
    <row r="309" spans="2:15">
      <c r="B309" s="30"/>
      <c r="C309" s="30"/>
      <c r="D309" s="11"/>
      <c r="E309" s="11"/>
      <c r="F309" s="11"/>
      <c r="G309" s="10"/>
      <c r="H309" s="10"/>
      <c r="I309" s="10"/>
      <c r="J309" s="10"/>
      <c r="K309" s="10"/>
      <c r="L309" s="12"/>
      <c r="M309" s="10"/>
      <c r="N309" s="10"/>
      <c r="O309" s="10"/>
    </row>
    <row r="310" spans="2:15">
      <c r="B310" s="30"/>
      <c r="C310" s="30"/>
      <c r="D310" s="11"/>
      <c r="E310" s="11"/>
      <c r="F310" s="11"/>
      <c r="G310" s="10"/>
      <c r="H310" s="10"/>
      <c r="I310" s="10"/>
      <c r="J310" s="10"/>
      <c r="K310" s="10"/>
      <c r="L310" s="12"/>
      <c r="M310" s="10"/>
      <c r="N310" s="10"/>
      <c r="O310" s="10"/>
    </row>
    <row r="311" spans="2:15">
      <c r="B311" s="30"/>
      <c r="C311" s="30"/>
      <c r="D311" s="11"/>
      <c r="E311" s="11"/>
      <c r="F311" s="11"/>
      <c r="G311" s="10"/>
      <c r="H311" s="10"/>
      <c r="I311" s="10"/>
      <c r="J311" s="10"/>
      <c r="K311" s="10"/>
      <c r="L311" s="12"/>
      <c r="M311" s="10"/>
      <c r="N311" s="10"/>
      <c r="O311" s="10"/>
    </row>
    <row r="312" spans="2:15">
      <c r="B312" s="30"/>
      <c r="C312" s="30"/>
      <c r="D312" s="11"/>
      <c r="E312" s="11"/>
      <c r="F312" s="11"/>
      <c r="G312" s="10"/>
      <c r="H312" s="10"/>
      <c r="I312" s="10"/>
      <c r="J312" s="10"/>
      <c r="K312" s="10"/>
      <c r="L312" s="12"/>
      <c r="M312" s="10"/>
      <c r="N312" s="10"/>
      <c r="O312" s="10"/>
    </row>
    <row r="313" spans="2:15">
      <c r="B313" s="30"/>
      <c r="C313" s="30"/>
      <c r="D313" s="11"/>
      <c r="E313" s="11"/>
      <c r="F313" s="11"/>
      <c r="G313" s="10"/>
      <c r="H313" s="10"/>
      <c r="I313" s="10"/>
      <c r="J313" s="10"/>
      <c r="K313" s="10"/>
      <c r="L313" s="12"/>
      <c r="M313" s="10"/>
      <c r="N313" s="10"/>
      <c r="O313" s="10"/>
    </row>
    <row r="314" spans="2:15">
      <c r="B314" s="30"/>
      <c r="C314" s="30"/>
      <c r="D314" s="11"/>
      <c r="E314" s="11"/>
      <c r="F314" s="11"/>
      <c r="G314" s="10"/>
      <c r="H314" s="10"/>
      <c r="I314" s="10"/>
      <c r="J314" s="10"/>
      <c r="K314" s="10"/>
      <c r="L314" s="12"/>
      <c r="M314" s="10"/>
      <c r="N314" s="10"/>
      <c r="O314" s="10"/>
    </row>
    <row r="315" spans="2:15">
      <c r="B315" s="30"/>
      <c r="C315" s="30"/>
      <c r="D315" s="11"/>
      <c r="E315" s="11"/>
      <c r="F315" s="11"/>
      <c r="G315" s="10"/>
      <c r="H315" s="10"/>
      <c r="I315" s="10"/>
      <c r="J315" s="10"/>
      <c r="K315" s="10"/>
      <c r="L315" s="12"/>
      <c r="M315" s="10"/>
      <c r="N315" s="10"/>
      <c r="O315" s="10"/>
    </row>
    <row r="316" spans="2:15">
      <c r="B316" s="30"/>
      <c r="C316" s="30"/>
      <c r="D316" s="11"/>
      <c r="E316" s="11"/>
      <c r="F316" s="11"/>
      <c r="G316" s="10"/>
      <c r="H316" s="10"/>
      <c r="I316" s="10"/>
      <c r="J316" s="10"/>
      <c r="K316" s="10"/>
      <c r="L316" s="12"/>
      <c r="M316" s="10"/>
      <c r="N316" s="10"/>
      <c r="O316" s="10"/>
    </row>
    <row r="317" spans="2:15">
      <c r="B317" s="30"/>
      <c r="C317" s="30"/>
      <c r="D317" s="11"/>
      <c r="E317" s="11"/>
      <c r="F317" s="11"/>
      <c r="G317" s="10"/>
      <c r="H317" s="10"/>
      <c r="I317" s="10"/>
      <c r="J317" s="10"/>
      <c r="K317" s="10"/>
      <c r="L317" s="12"/>
      <c r="M317" s="10"/>
      <c r="N317" s="10"/>
      <c r="O317" s="10"/>
    </row>
    <row r="318" spans="2:15">
      <c r="B318" s="30"/>
      <c r="C318" s="30"/>
      <c r="D318" s="11"/>
      <c r="E318" s="11"/>
      <c r="F318" s="11"/>
      <c r="G318" s="10"/>
      <c r="H318" s="10"/>
      <c r="I318" s="10"/>
      <c r="J318" s="10"/>
      <c r="K318" s="10"/>
      <c r="L318" s="12"/>
      <c r="M318" s="10"/>
      <c r="N318" s="10"/>
      <c r="O318" s="10"/>
    </row>
    <row r="319" spans="2:15">
      <c r="B319" s="30"/>
      <c r="C319" s="30"/>
      <c r="D319" s="11"/>
      <c r="E319" s="11"/>
      <c r="F319" s="11"/>
      <c r="G319" s="10"/>
      <c r="H319" s="10"/>
      <c r="I319" s="10"/>
      <c r="J319" s="10"/>
      <c r="K319" s="10"/>
      <c r="L319" s="12"/>
      <c r="M319" s="10"/>
      <c r="N319" s="10"/>
      <c r="O319" s="10"/>
    </row>
    <row r="320" spans="2:15">
      <c r="B320" s="30"/>
      <c r="C320" s="30"/>
      <c r="D320" s="11"/>
      <c r="E320" s="11"/>
      <c r="F320" s="11"/>
      <c r="G320" s="10"/>
      <c r="H320" s="10"/>
      <c r="I320" s="10"/>
      <c r="J320" s="10"/>
      <c r="K320" s="10"/>
      <c r="L320" s="12"/>
      <c r="M320" s="10"/>
      <c r="N320" s="10"/>
      <c r="O320" s="10"/>
    </row>
    <row r="321" spans="2:15">
      <c r="B321" s="30"/>
      <c r="C321" s="30"/>
      <c r="D321" s="11"/>
      <c r="E321" s="11"/>
      <c r="F321" s="11"/>
      <c r="G321" s="10"/>
      <c r="H321" s="10"/>
      <c r="I321" s="10"/>
      <c r="J321" s="10"/>
      <c r="K321" s="10"/>
      <c r="L321" s="12"/>
      <c r="M321" s="10"/>
      <c r="N321" s="10"/>
      <c r="O321" s="10"/>
    </row>
    <row r="322" spans="2:15">
      <c r="B322" s="30"/>
      <c r="C322" s="30"/>
      <c r="D322" s="11"/>
      <c r="E322" s="11"/>
      <c r="F322" s="11"/>
      <c r="G322" s="10"/>
      <c r="H322" s="10"/>
      <c r="I322" s="10"/>
      <c r="J322" s="10"/>
      <c r="K322" s="10"/>
      <c r="L322" s="12"/>
      <c r="M322" s="10"/>
      <c r="N322" s="10"/>
      <c r="O322" s="10"/>
    </row>
    <row r="323" spans="2:15">
      <c r="B323" s="30"/>
      <c r="C323" s="30"/>
      <c r="D323" s="11"/>
      <c r="E323" s="11"/>
      <c r="F323" s="11"/>
      <c r="G323" s="10"/>
      <c r="H323" s="10"/>
      <c r="I323" s="10"/>
      <c r="J323" s="10"/>
      <c r="K323" s="10"/>
      <c r="L323" s="12"/>
      <c r="M323" s="10"/>
      <c r="N323" s="10"/>
      <c r="O323" s="10"/>
    </row>
    <row r="324" spans="2:15">
      <c r="B324" s="30"/>
      <c r="C324" s="30"/>
      <c r="D324" s="11"/>
      <c r="E324" s="11"/>
      <c r="F324" s="11"/>
      <c r="G324" s="10"/>
      <c r="H324" s="10"/>
      <c r="I324" s="10"/>
      <c r="J324" s="10"/>
      <c r="K324" s="10"/>
      <c r="L324" s="12"/>
      <c r="M324" s="10"/>
      <c r="N324" s="10"/>
      <c r="O324" s="10"/>
    </row>
    <row r="325" spans="2:15">
      <c r="B325" s="30"/>
      <c r="C325" s="30"/>
      <c r="D325" s="11"/>
      <c r="E325" s="11"/>
      <c r="F325" s="11"/>
      <c r="G325" s="10"/>
      <c r="H325" s="10"/>
      <c r="I325" s="10"/>
      <c r="J325" s="10"/>
      <c r="K325" s="10"/>
      <c r="L325" s="12"/>
      <c r="M325" s="10"/>
      <c r="N325" s="10"/>
      <c r="O325" s="10"/>
    </row>
    <row r="326" spans="2:15">
      <c r="B326" s="30"/>
      <c r="C326" s="30"/>
      <c r="D326" s="11"/>
      <c r="E326" s="11"/>
      <c r="F326" s="11"/>
      <c r="G326" s="10"/>
      <c r="H326" s="10"/>
      <c r="I326" s="10"/>
      <c r="J326" s="10"/>
      <c r="K326" s="10"/>
      <c r="L326" s="12"/>
      <c r="M326" s="10"/>
      <c r="N326" s="10"/>
      <c r="O326" s="10"/>
    </row>
    <row r="327" spans="2:15">
      <c r="B327" s="30"/>
      <c r="C327" s="30"/>
      <c r="D327" s="11"/>
      <c r="E327" s="11"/>
      <c r="F327" s="11"/>
      <c r="G327" s="10"/>
      <c r="H327" s="10"/>
      <c r="I327" s="10"/>
      <c r="J327" s="10"/>
      <c r="K327" s="10"/>
      <c r="L327" s="12"/>
      <c r="M327" s="10"/>
      <c r="N327" s="10"/>
      <c r="O327" s="10"/>
    </row>
    <row r="328" spans="2:15">
      <c r="B328" s="30"/>
      <c r="C328" s="30"/>
      <c r="D328" s="11"/>
      <c r="E328" s="11"/>
      <c r="F328" s="11"/>
      <c r="G328" s="10"/>
      <c r="H328" s="10"/>
      <c r="I328" s="10"/>
      <c r="J328" s="10"/>
      <c r="K328" s="10"/>
      <c r="L328" s="12"/>
      <c r="M328" s="10"/>
      <c r="N328" s="10"/>
      <c r="O328" s="10"/>
    </row>
    <row r="329" spans="2:15">
      <c r="B329" s="30"/>
      <c r="C329" s="30"/>
      <c r="D329" s="11"/>
      <c r="E329" s="11"/>
      <c r="F329" s="11"/>
      <c r="G329" s="10"/>
      <c r="H329" s="10"/>
      <c r="I329" s="10"/>
      <c r="J329" s="10"/>
      <c r="K329" s="10"/>
      <c r="L329" s="12"/>
      <c r="M329" s="10"/>
      <c r="N329" s="10"/>
      <c r="O329" s="10"/>
    </row>
    <row r="330" spans="2:15">
      <c r="B330" s="30"/>
      <c r="C330" s="30"/>
      <c r="D330" s="11"/>
      <c r="E330" s="11"/>
      <c r="F330" s="11"/>
      <c r="G330" s="10"/>
      <c r="H330" s="10"/>
      <c r="I330" s="10"/>
      <c r="J330" s="10"/>
      <c r="K330" s="10"/>
      <c r="L330" s="12"/>
      <c r="M330" s="10"/>
      <c r="N330" s="10"/>
      <c r="O330" s="10"/>
    </row>
    <row r="331" spans="2:15">
      <c r="B331" s="30"/>
      <c r="C331" s="30"/>
      <c r="D331" s="11"/>
      <c r="E331" s="11"/>
      <c r="F331" s="11"/>
      <c r="G331" s="10"/>
      <c r="H331" s="10"/>
      <c r="I331" s="10"/>
      <c r="J331" s="10"/>
      <c r="K331" s="10"/>
      <c r="L331" s="12"/>
      <c r="M331" s="10"/>
      <c r="N331" s="10"/>
      <c r="O331" s="10"/>
    </row>
    <row r="332" spans="2:15">
      <c r="B332" s="30"/>
      <c r="C332" s="30"/>
      <c r="D332" s="11"/>
      <c r="E332" s="11"/>
      <c r="F332" s="11"/>
      <c r="G332" s="10"/>
      <c r="H332" s="10"/>
      <c r="I332" s="10"/>
      <c r="J332" s="10"/>
      <c r="K332" s="10"/>
      <c r="L332" s="12"/>
      <c r="M332" s="10"/>
      <c r="N332" s="10"/>
      <c r="O332" s="10"/>
    </row>
    <row r="333" spans="2:15">
      <c r="B333" s="30"/>
      <c r="C333" s="30"/>
      <c r="D333" s="11"/>
      <c r="E333" s="11"/>
      <c r="F333" s="11"/>
      <c r="G333" s="10"/>
      <c r="H333" s="10"/>
      <c r="I333" s="10"/>
      <c r="J333" s="10"/>
      <c r="K333" s="10"/>
      <c r="L333" s="12"/>
      <c r="M333" s="10"/>
      <c r="N333" s="10"/>
      <c r="O333" s="10"/>
    </row>
    <row r="334" spans="2:15">
      <c r="B334" s="30"/>
      <c r="C334" s="30"/>
      <c r="D334" s="11"/>
      <c r="E334" s="11"/>
      <c r="F334" s="11"/>
      <c r="G334" s="10"/>
      <c r="H334" s="10"/>
      <c r="I334" s="10"/>
      <c r="J334" s="10"/>
      <c r="K334" s="10"/>
      <c r="L334" s="12"/>
      <c r="M334" s="10"/>
      <c r="N334" s="10"/>
      <c r="O334" s="10"/>
    </row>
    <row r="335" spans="2:15">
      <c r="B335" s="30"/>
      <c r="C335" s="30"/>
      <c r="D335" s="11"/>
      <c r="E335" s="11"/>
      <c r="F335" s="11"/>
      <c r="G335" s="10"/>
      <c r="H335" s="10"/>
      <c r="I335" s="10"/>
      <c r="J335" s="10"/>
      <c r="K335" s="10"/>
      <c r="L335" s="12"/>
      <c r="M335" s="10"/>
      <c r="N335" s="10"/>
      <c r="O335" s="10"/>
    </row>
    <row r="336" spans="2:15">
      <c r="B336" s="30"/>
      <c r="C336" s="30"/>
      <c r="D336" s="11"/>
      <c r="E336" s="11"/>
      <c r="F336" s="11"/>
      <c r="G336" s="10"/>
      <c r="H336" s="10"/>
      <c r="I336" s="10"/>
      <c r="J336" s="10"/>
      <c r="K336" s="10"/>
      <c r="L336" s="12"/>
      <c r="M336" s="10"/>
      <c r="N336" s="10"/>
      <c r="O336" s="10"/>
    </row>
    <row r="337" spans="2:15">
      <c r="B337" s="30"/>
      <c r="C337" s="30"/>
      <c r="D337" s="11"/>
      <c r="E337" s="11"/>
      <c r="F337" s="11"/>
      <c r="G337" s="10"/>
      <c r="H337" s="10"/>
      <c r="I337" s="10"/>
      <c r="J337" s="10"/>
      <c r="K337" s="10"/>
      <c r="L337" s="12"/>
      <c r="M337" s="10"/>
      <c r="N337" s="10"/>
      <c r="O337" s="10"/>
    </row>
    <row r="338" spans="2:15">
      <c r="B338" s="30"/>
      <c r="C338" s="30"/>
      <c r="D338" s="11"/>
      <c r="E338" s="11"/>
      <c r="F338" s="11"/>
      <c r="G338" s="10"/>
      <c r="H338" s="10"/>
      <c r="I338" s="10"/>
      <c r="J338" s="10"/>
      <c r="K338" s="10"/>
      <c r="L338" s="12"/>
      <c r="M338" s="10"/>
      <c r="N338" s="10"/>
      <c r="O338" s="10"/>
    </row>
    <row r="339" spans="2:15">
      <c r="B339" s="30"/>
      <c r="C339" s="30"/>
      <c r="D339" s="11"/>
      <c r="E339" s="11"/>
      <c r="F339" s="11"/>
      <c r="G339" s="10"/>
      <c r="H339" s="10"/>
      <c r="I339" s="10"/>
      <c r="J339" s="10"/>
      <c r="K339" s="10"/>
      <c r="L339" s="12"/>
      <c r="M339" s="10"/>
      <c r="N339" s="10"/>
      <c r="O339" s="10"/>
    </row>
    <row r="340" spans="2:15">
      <c r="B340" s="30"/>
      <c r="C340" s="30"/>
      <c r="D340" s="11"/>
      <c r="E340" s="11"/>
      <c r="F340" s="11"/>
      <c r="G340" s="10"/>
      <c r="H340" s="10"/>
      <c r="I340" s="10"/>
      <c r="J340" s="10"/>
      <c r="K340" s="10"/>
      <c r="L340" s="12"/>
      <c r="M340" s="10"/>
      <c r="N340" s="10"/>
      <c r="O340" s="10"/>
    </row>
    <row r="341" spans="2:15">
      <c r="B341" s="30"/>
      <c r="C341" s="30"/>
      <c r="D341" s="11"/>
      <c r="E341" s="11"/>
      <c r="F341" s="11"/>
      <c r="G341" s="10"/>
      <c r="H341" s="10"/>
      <c r="I341" s="10"/>
      <c r="J341" s="10"/>
      <c r="K341" s="10"/>
      <c r="L341" s="12"/>
      <c r="M341" s="10"/>
      <c r="N341" s="10"/>
      <c r="O341" s="10"/>
    </row>
    <row r="342" spans="2:15">
      <c r="B342" s="30"/>
      <c r="C342" s="30"/>
      <c r="D342" s="11"/>
      <c r="E342" s="11"/>
      <c r="F342" s="11"/>
      <c r="G342" s="10"/>
      <c r="H342" s="10"/>
      <c r="I342" s="10"/>
      <c r="J342" s="10"/>
      <c r="K342" s="10"/>
      <c r="L342" s="12"/>
      <c r="M342" s="10"/>
      <c r="N342" s="10"/>
      <c r="O342" s="10"/>
    </row>
    <row r="343" spans="2:15">
      <c r="B343" s="30"/>
      <c r="C343" s="30"/>
      <c r="D343" s="11"/>
      <c r="E343" s="11"/>
      <c r="F343" s="11"/>
      <c r="G343" s="10"/>
      <c r="H343" s="10"/>
      <c r="I343" s="10"/>
      <c r="J343" s="10"/>
      <c r="K343" s="10"/>
      <c r="L343" s="12"/>
      <c r="M343" s="10"/>
      <c r="N343" s="10"/>
      <c r="O343" s="10"/>
    </row>
    <row r="344" spans="2:15">
      <c r="B344" s="30"/>
      <c r="C344" s="30"/>
      <c r="D344" s="11"/>
      <c r="E344" s="11"/>
      <c r="F344" s="11"/>
      <c r="G344" s="10"/>
      <c r="H344" s="10"/>
      <c r="I344" s="10"/>
      <c r="J344" s="10"/>
      <c r="K344" s="10"/>
      <c r="L344" s="12"/>
      <c r="M344" s="10"/>
      <c r="N344" s="10"/>
      <c r="O344" s="10"/>
    </row>
    <row r="345" spans="2:15">
      <c r="B345" s="30"/>
      <c r="C345" s="30"/>
      <c r="D345" s="11"/>
      <c r="E345" s="11"/>
      <c r="F345" s="11"/>
      <c r="G345" s="10"/>
      <c r="H345" s="10"/>
      <c r="I345" s="10"/>
      <c r="J345" s="10"/>
      <c r="K345" s="10"/>
      <c r="L345" s="12"/>
      <c r="M345" s="10"/>
      <c r="N345" s="10"/>
      <c r="O345" s="10"/>
    </row>
    <row r="346" spans="2:15">
      <c r="B346" s="30"/>
      <c r="C346" s="30"/>
      <c r="D346" s="11"/>
      <c r="E346" s="11"/>
      <c r="F346" s="11"/>
      <c r="G346" s="10"/>
      <c r="H346" s="10"/>
      <c r="I346" s="10"/>
      <c r="J346" s="10"/>
      <c r="K346" s="10"/>
      <c r="L346" s="12"/>
      <c r="M346" s="10"/>
      <c r="N346" s="10"/>
      <c r="O346" s="10"/>
    </row>
    <row r="347" spans="2:15">
      <c r="B347" s="30"/>
      <c r="C347" s="30"/>
      <c r="D347" s="11"/>
      <c r="E347" s="11"/>
      <c r="F347" s="11"/>
      <c r="G347" s="10"/>
      <c r="H347" s="10"/>
      <c r="I347" s="10"/>
      <c r="J347" s="10"/>
      <c r="K347" s="10"/>
      <c r="L347" s="12"/>
      <c r="M347" s="10"/>
      <c r="N347" s="10"/>
      <c r="O347" s="10"/>
    </row>
    <row r="348" spans="2:15">
      <c r="B348" s="30"/>
      <c r="C348" s="30"/>
      <c r="D348" s="11"/>
      <c r="E348" s="11"/>
      <c r="F348" s="11"/>
      <c r="G348" s="10"/>
      <c r="H348" s="10"/>
      <c r="I348" s="10"/>
      <c r="J348" s="10"/>
      <c r="K348" s="10"/>
      <c r="L348" s="12"/>
      <c r="M348" s="10"/>
      <c r="N348" s="10"/>
      <c r="O348" s="10"/>
    </row>
    <row r="349" spans="2:15">
      <c r="B349" s="30"/>
      <c r="C349" s="30"/>
      <c r="D349" s="11"/>
      <c r="E349" s="11"/>
      <c r="F349" s="11"/>
      <c r="G349" s="10"/>
      <c r="H349" s="10"/>
      <c r="I349" s="10"/>
      <c r="J349" s="10"/>
      <c r="K349" s="10"/>
      <c r="L349" s="12"/>
      <c r="M349" s="10"/>
      <c r="N349" s="10"/>
      <c r="O349" s="10"/>
    </row>
    <row r="350" spans="2:15">
      <c r="B350" s="30"/>
      <c r="C350" s="30"/>
      <c r="D350" s="11"/>
      <c r="E350" s="11"/>
      <c r="F350" s="11"/>
      <c r="G350" s="10"/>
      <c r="H350" s="10"/>
      <c r="I350" s="10"/>
      <c r="J350" s="10"/>
      <c r="K350" s="10"/>
      <c r="L350" s="12"/>
      <c r="M350" s="10"/>
      <c r="N350" s="10"/>
      <c r="O350" s="10"/>
    </row>
    <row r="351" spans="2:15">
      <c r="B351" s="30"/>
      <c r="C351" s="30"/>
      <c r="D351" s="11"/>
      <c r="E351" s="11"/>
      <c r="F351" s="11"/>
      <c r="G351" s="10"/>
      <c r="H351" s="10"/>
      <c r="I351" s="10"/>
      <c r="J351" s="10"/>
      <c r="K351" s="10"/>
      <c r="L351" s="12"/>
      <c r="M351" s="10"/>
      <c r="N351" s="10"/>
      <c r="O351" s="10"/>
    </row>
    <row r="352" spans="2:15">
      <c r="B352" s="30"/>
      <c r="C352" s="30"/>
      <c r="D352" s="11"/>
      <c r="E352" s="11"/>
      <c r="F352" s="11"/>
      <c r="G352" s="10"/>
      <c r="H352" s="10"/>
      <c r="I352" s="10"/>
      <c r="J352" s="10"/>
      <c r="K352" s="10"/>
      <c r="L352" s="12"/>
      <c r="M352" s="10"/>
      <c r="N352" s="10"/>
      <c r="O352" s="10"/>
    </row>
    <row r="353" spans="2:15">
      <c r="B353" s="30"/>
      <c r="C353" s="30"/>
      <c r="D353" s="11"/>
      <c r="E353" s="11"/>
      <c r="F353" s="11"/>
      <c r="G353" s="10"/>
      <c r="H353" s="10"/>
      <c r="I353" s="10"/>
      <c r="J353" s="10"/>
      <c r="K353" s="10"/>
      <c r="L353" s="12"/>
      <c r="M353" s="10"/>
      <c r="N353" s="10"/>
      <c r="O353" s="10"/>
    </row>
    <row r="354" spans="2:15">
      <c r="B354" s="30"/>
      <c r="C354" s="30"/>
      <c r="D354" s="11"/>
      <c r="E354" s="11"/>
      <c r="F354" s="11"/>
      <c r="G354" s="10"/>
      <c r="H354" s="10"/>
      <c r="I354" s="10"/>
      <c r="J354" s="10"/>
      <c r="K354" s="10"/>
      <c r="L354" s="12"/>
      <c r="M354" s="10"/>
      <c r="N354" s="10"/>
      <c r="O354" s="10"/>
    </row>
    <row r="355" spans="2:15">
      <c r="B355" s="30"/>
      <c r="C355" s="30"/>
      <c r="D355" s="11"/>
      <c r="E355" s="11"/>
      <c r="F355" s="11"/>
      <c r="G355" s="10"/>
      <c r="H355" s="10"/>
      <c r="I355" s="10"/>
      <c r="J355" s="10"/>
      <c r="K355" s="10"/>
      <c r="L355" s="12"/>
      <c r="M355" s="10"/>
      <c r="N355" s="10"/>
      <c r="O355" s="10"/>
    </row>
    <row r="356" spans="2:15">
      <c r="B356" s="30"/>
      <c r="C356" s="30"/>
      <c r="D356" s="11"/>
      <c r="E356" s="11"/>
      <c r="F356" s="11"/>
      <c r="G356" s="10"/>
      <c r="H356" s="10"/>
      <c r="I356" s="10"/>
      <c r="J356" s="10"/>
      <c r="K356" s="10"/>
      <c r="L356" s="12"/>
      <c r="M356" s="10"/>
      <c r="N356" s="10"/>
      <c r="O356" s="10"/>
    </row>
    <row r="357" spans="2:15">
      <c r="B357" s="30"/>
      <c r="C357" s="30"/>
      <c r="D357" s="11"/>
      <c r="E357" s="11"/>
      <c r="F357" s="11"/>
      <c r="G357" s="10"/>
      <c r="H357" s="10"/>
      <c r="I357" s="10"/>
      <c r="J357" s="10"/>
      <c r="K357" s="10"/>
      <c r="L357" s="12"/>
      <c r="M357" s="10"/>
      <c r="N357" s="10"/>
      <c r="O357" s="10"/>
    </row>
    <row r="358" spans="2:15">
      <c r="B358" s="30"/>
      <c r="C358" s="30"/>
      <c r="D358" s="11"/>
      <c r="E358" s="11"/>
      <c r="F358" s="11"/>
      <c r="G358" s="10"/>
      <c r="H358" s="10"/>
      <c r="I358" s="10"/>
      <c r="J358" s="10"/>
      <c r="K358" s="10"/>
      <c r="L358" s="12"/>
      <c r="M358" s="10"/>
      <c r="N358" s="10"/>
      <c r="O358" s="10"/>
    </row>
    <row r="359" spans="2:15">
      <c r="B359" s="30"/>
      <c r="C359" s="30"/>
      <c r="D359" s="11"/>
      <c r="E359" s="11"/>
      <c r="F359" s="11"/>
      <c r="G359" s="10"/>
      <c r="H359" s="10"/>
      <c r="I359" s="10"/>
      <c r="J359" s="10"/>
      <c r="K359" s="10"/>
      <c r="L359" s="12"/>
      <c r="M359" s="10"/>
      <c r="N359" s="10"/>
      <c r="O359" s="10"/>
    </row>
    <row r="360" spans="2:15">
      <c r="B360" s="30"/>
      <c r="C360" s="30"/>
      <c r="D360" s="11"/>
      <c r="E360" s="11"/>
      <c r="F360" s="11"/>
      <c r="G360" s="10"/>
      <c r="H360" s="10"/>
      <c r="I360" s="10"/>
      <c r="J360" s="10"/>
      <c r="K360" s="10"/>
      <c r="L360" s="12"/>
      <c r="M360" s="10"/>
      <c r="N360" s="10"/>
      <c r="O360" s="10"/>
    </row>
    <row r="361" spans="2:15">
      <c r="B361" s="30"/>
      <c r="C361" s="30"/>
      <c r="D361" s="11"/>
      <c r="E361" s="11"/>
      <c r="F361" s="11"/>
      <c r="G361" s="10"/>
      <c r="H361" s="10"/>
      <c r="I361" s="10"/>
      <c r="J361" s="10"/>
      <c r="K361" s="10"/>
      <c r="L361" s="12"/>
      <c r="M361" s="10"/>
      <c r="N361" s="10"/>
      <c r="O361" s="10"/>
    </row>
    <row r="362" spans="2:15">
      <c r="B362" s="30"/>
      <c r="C362" s="30"/>
      <c r="D362" s="11"/>
      <c r="E362" s="11"/>
      <c r="F362" s="11"/>
      <c r="G362" s="10"/>
      <c r="H362" s="10"/>
      <c r="I362" s="10"/>
      <c r="J362" s="10"/>
      <c r="K362" s="10"/>
      <c r="L362" s="12"/>
      <c r="M362" s="10"/>
      <c r="N362" s="10"/>
      <c r="O362" s="10"/>
    </row>
    <row r="363" spans="2:15">
      <c r="B363" s="30"/>
      <c r="C363" s="30"/>
      <c r="D363" s="11"/>
      <c r="E363" s="11"/>
      <c r="F363" s="11"/>
      <c r="G363" s="10"/>
      <c r="H363" s="10"/>
      <c r="I363" s="10"/>
      <c r="J363" s="10"/>
      <c r="K363" s="10"/>
      <c r="L363" s="12"/>
      <c r="M363" s="10"/>
      <c r="N363" s="10"/>
      <c r="O363" s="10"/>
    </row>
    <row r="364" spans="2:15">
      <c r="B364" s="30"/>
      <c r="C364" s="30"/>
      <c r="D364" s="11"/>
      <c r="E364" s="11"/>
      <c r="F364" s="11"/>
      <c r="G364" s="10"/>
      <c r="H364" s="10"/>
      <c r="I364" s="10"/>
      <c r="J364" s="10"/>
      <c r="K364" s="10"/>
      <c r="L364" s="12"/>
      <c r="M364" s="10"/>
      <c r="N364" s="10"/>
      <c r="O364" s="10"/>
    </row>
    <row r="365" spans="2:15">
      <c r="B365" s="30"/>
      <c r="C365" s="30"/>
      <c r="D365" s="11"/>
      <c r="E365" s="11"/>
      <c r="F365" s="11"/>
      <c r="G365" s="10"/>
      <c r="H365" s="10"/>
      <c r="I365" s="10"/>
      <c r="J365" s="10"/>
      <c r="K365" s="10"/>
      <c r="L365" s="12"/>
      <c r="M365" s="10"/>
      <c r="N365" s="10"/>
      <c r="O365" s="10"/>
    </row>
    <row r="366" spans="2:15">
      <c r="B366" s="30"/>
      <c r="C366" s="30"/>
      <c r="D366" s="11"/>
      <c r="E366" s="11"/>
      <c r="F366" s="11"/>
      <c r="G366" s="10"/>
      <c r="H366" s="10"/>
      <c r="I366" s="10"/>
      <c r="J366" s="10"/>
      <c r="K366" s="10"/>
      <c r="L366" s="12"/>
      <c r="M366" s="10"/>
      <c r="N366" s="10"/>
      <c r="O366" s="10"/>
    </row>
    <row r="367" spans="2:15">
      <c r="B367" s="30"/>
      <c r="C367" s="30"/>
      <c r="D367" s="11"/>
      <c r="E367" s="11"/>
      <c r="F367" s="11"/>
      <c r="G367" s="10"/>
      <c r="H367" s="10"/>
      <c r="I367" s="10"/>
      <c r="J367" s="10"/>
      <c r="K367" s="10"/>
      <c r="L367" s="12"/>
      <c r="M367" s="10"/>
      <c r="N367" s="10"/>
      <c r="O367" s="10"/>
    </row>
    <row r="368" spans="2:15">
      <c r="B368" s="30"/>
      <c r="C368" s="30"/>
      <c r="D368" s="11"/>
      <c r="E368" s="11"/>
      <c r="F368" s="11"/>
      <c r="G368" s="10"/>
      <c r="H368" s="10"/>
      <c r="I368" s="10"/>
      <c r="J368" s="10"/>
      <c r="K368" s="10"/>
      <c r="L368" s="12"/>
      <c r="M368" s="10"/>
      <c r="N368" s="10"/>
      <c r="O368" s="10"/>
    </row>
    <row r="369" spans="2:15">
      <c r="B369" s="30"/>
      <c r="C369" s="30"/>
      <c r="D369" s="11"/>
      <c r="E369" s="11"/>
      <c r="F369" s="11"/>
      <c r="G369" s="10"/>
      <c r="H369" s="10"/>
      <c r="I369" s="10"/>
      <c r="J369" s="10"/>
      <c r="K369" s="10"/>
      <c r="L369" s="12"/>
      <c r="M369" s="10"/>
      <c r="N369" s="10"/>
      <c r="O369" s="10"/>
    </row>
    <row r="370" spans="2:15">
      <c r="B370" s="30"/>
      <c r="C370" s="30"/>
      <c r="D370" s="11"/>
      <c r="E370" s="11"/>
      <c r="F370" s="11"/>
      <c r="G370" s="10"/>
      <c r="H370" s="10"/>
      <c r="I370" s="10"/>
      <c r="J370" s="10"/>
      <c r="K370" s="10"/>
      <c r="L370" s="12"/>
      <c r="M370" s="10"/>
      <c r="N370" s="10"/>
      <c r="O370" s="10"/>
    </row>
    <row r="371" spans="2:15">
      <c r="B371" s="30"/>
      <c r="C371" s="30"/>
      <c r="D371" s="11"/>
      <c r="E371" s="11"/>
      <c r="F371" s="11"/>
      <c r="G371" s="10"/>
      <c r="H371" s="10"/>
      <c r="I371" s="10"/>
      <c r="J371" s="10"/>
      <c r="K371" s="10"/>
      <c r="L371" s="12"/>
      <c r="M371" s="10"/>
      <c r="N371" s="10"/>
      <c r="O371" s="10"/>
    </row>
    <row r="372" spans="2:15">
      <c r="B372" s="30"/>
      <c r="C372" s="30"/>
      <c r="D372" s="11"/>
      <c r="E372" s="11"/>
      <c r="F372" s="11"/>
      <c r="G372" s="10"/>
      <c r="H372" s="10"/>
      <c r="I372" s="10"/>
      <c r="J372" s="10"/>
      <c r="K372" s="10"/>
      <c r="L372" s="12"/>
      <c r="M372" s="10"/>
      <c r="N372" s="10"/>
      <c r="O372" s="10"/>
    </row>
    <row r="373" spans="2:15">
      <c r="B373" s="30"/>
      <c r="C373" s="30"/>
      <c r="D373" s="11"/>
      <c r="E373" s="11"/>
      <c r="F373" s="11"/>
      <c r="G373" s="10"/>
      <c r="H373" s="10"/>
      <c r="I373" s="10"/>
      <c r="J373" s="10"/>
      <c r="K373" s="10"/>
      <c r="L373" s="12"/>
      <c r="M373" s="10"/>
      <c r="N373" s="10"/>
      <c r="O373" s="10"/>
    </row>
    <row r="374" spans="2:15">
      <c r="B374" s="30"/>
      <c r="C374" s="30"/>
      <c r="D374" s="11"/>
      <c r="E374" s="11"/>
      <c r="F374" s="11"/>
      <c r="G374" s="10"/>
      <c r="H374" s="10"/>
      <c r="I374" s="10"/>
      <c r="J374" s="10"/>
      <c r="K374" s="10"/>
      <c r="L374" s="12"/>
      <c r="M374" s="10"/>
      <c r="N374" s="10"/>
      <c r="O374" s="10"/>
    </row>
    <row r="375" spans="2:15">
      <c r="B375" s="30"/>
      <c r="C375" s="30"/>
      <c r="D375" s="11"/>
      <c r="E375" s="11"/>
      <c r="F375" s="11"/>
      <c r="G375" s="10"/>
      <c r="H375" s="10"/>
      <c r="I375" s="10"/>
      <c r="J375" s="10"/>
      <c r="K375" s="10"/>
      <c r="L375" s="12"/>
      <c r="M375" s="10"/>
      <c r="N375" s="10"/>
      <c r="O375" s="10"/>
    </row>
    <row r="376" spans="2:15">
      <c r="B376" s="30"/>
      <c r="C376" s="30"/>
      <c r="D376" s="11"/>
      <c r="E376" s="11"/>
      <c r="F376" s="11"/>
      <c r="G376" s="10"/>
      <c r="H376" s="10"/>
      <c r="I376" s="10"/>
      <c r="J376" s="10"/>
      <c r="K376" s="10"/>
      <c r="L376" s="12"/>
      <c r="M376" s="10"/>
      <c r="N376" s="10"/>
      <c r="O376" s="10"/>
    </row>
    <row r="377" spans="2:15">
      <c r="B377" s="30"/>
      <c r="C377" s="30"/>
      <c r="D377" s="11"/>
      <c r="E377" s="11"/>
      <c r="F377" s="11"/>
      <c r="G377" s="10"/>
      <c r="H377" s="10"/>
      <c r="I377" s="10"/>
      <c r="J377" s="10"/>
      <c r="K377" s="10"/>
      <c r="L377" s="12"/>
      <c r="M377" s="10"/>
      <c r="N377" s="10"/>
      <c r="O377" s="10"/>
    </row>
    <row r="378" spans="2:15">
      <c r="B378" s="30"/>
      <c r="C378" s="30"/>
      <c r="D378" s="11"/>
      <c r="E378" s="11"/>
      <c r="F378" s="11"/>
      <c r="G378" s="10"/>
      <c r="H378" s="10"/>
      <c r="I378" s="10"/>
      <c r="J378" s="10"/>
      <c r="K378" s="10"/>
      <c r="L378" s="12"/>
      <c r="M378" s="10"/>
      <c r="N378" s="10"/>
      <c r="O378" s="10"/>
    </row>
    <row r="379" spans="2:15">
      <c r="B379" s="30"/>
      <c r="C379" s="30"/>
      <c r="D379" s="11"/>
      <c r="E379" s="11"/>
      <c r="F379" s="11"/>
      <c r="G379" s="10"/>
      <c r="H379" s="10"/>
      <c r="I379" s="10"/>
      <c r="J379" s="10"/>
      <c r="K379" s="10"/>
      <c r="L379" s="12"/>
      <c r="M379" s="10"/>
      <c r="N379" s="10"/>
      <c r="O379" s="10"/>
    </row>
    <row r="380" spans="2:15">
      <c r="B380" s="30"/>
      <c r="C380" s="30"/>
      <c r="D380" s="11"/>
      <c r="E380" s="11"/>
      <c r="F380" s="11"/>
      <c r="G380" s="10"/>
      <c r="H380" s="10"/>
      <c r="I380" s="10"/>
      <c r="J380" s="10"/>
      <c r="K380" s="10"/>
      <c r="L380" s="12"/>
      <c r="M380" s="10"/>
      <c r="N380" s="10"/>
      <c r="O380" s="10"/>
    </row>
    <row r="381" spans="2:15">
      <c r="B381" s="30"/>
      <c r="C381" s="30"/>
      <c r="D381" s="11"/>
      <c r="E381" s="11"/>
      <c r="F381" s="11"/>
      <c r="G381" s="10"/>
      <c r="H381" s="10"/>
      <c r="I381" s="10"/>
      <c r="J381" s="10"/>
      <c r="K381" s="10"/>
      <c r="L381" s="12"/>
      <c r="M381" s="10"/>
      <c r="N381" s="10"/>
      <c r="O381" s="10"/>
    </row>
    <row r="382" spans="2:15">
      <c r="B382" s="30"/>
      <c r="C382" s="30"/>
      <c r="D382" s="11"/>
      <c r="E382" s="11"/>
      <c r="F382" s="11"/>
      <c r="G382" s="10"/>
      <c r="H382" s="10"/>
      <c r="I382" s="10"/>
      <c r="J382" s="10"/>
      <c r="K382" s="10"/>
      <c r="L382" s="12"/>
      <c r="M382" s="10"/>
      <c r="N382" s="10"/>
      <c r="O382" s="10"/>
    </row>
    <row r="383" spans="2:15">
      <c r="B383" s="30"/>
      <c r="C383" s="30"/>
      <c r="D383" s="11"/>
      <c r="E383" s="11"/>
      <c r="F383" s="11"/>
      <c r="G383" s="10"/>
      <c r="H383" s="10"/>
      <c r="I383" s="10"/>
      <c r="J383" s="10"/>
      <c r="K383" s="10"/>
      <c r="L383" s="12"/>
      <c r="M383" s="10"/>
      <c r="N383" s="10"/>
      <c r="O383" s="10"/>
    </row>
    <row r="384" spans="2:15">
      <c r="B384" s="30"/>
      <c r="C384" s="30"/>
      <c r="D384" s="11"/>
      <c r="E384" s="11"/>
      <c r="F384" s="11"/>
      <c r="G384" s="10"/>
      <c r="H384" s="10"/>
      <c r="I384" s="10"/>
      <c r="J384" s="10"/>
      <c r="K384" s="10"/>
      <c r="L384" s="12"/>
      <c r="M384" s="10"/>
      <c r="N384" s="10"/>
      <c r="O384" s="10"/>
    </row>
    <row r="385" spans="2:15">
      <c r="B385" s="30"/>
      <c r="C385" s="30"/>
      <c r="D385" s="11"/>
      <c r="E385" s="11"/>
      <c r="F385" s="11"/>
      <c r="G385" s="10"/>
      <c r="H385" s="10"/>
      <c r="I385" s="10"/>
      <c r="J385" s="10"/>
      <c r="K385" s="10"/>
      <c r="L385" s="12"/>
      <c r="M385" s="10"/>
      <c r="N385" s="10"/>
      <c r="O385" s="10"/>
    </row>
    <row r="386" spans="2:15">
      <c r="B386" s="30"/>
      <c r="C386" s="30"/>
      <c r="D386" s="11"/>
      <c r="E386" s="11"/>
      <c r="F386" s="11"/>
      <c r="G386" s="10"/>
      <c r="H386" s="10"/>
      <c r="I386" s="10"/>
      <c r="J386" s="10"/>
      <c r="K386" s="10"/>
      <c r="L386" s="12"/>
      <c r="M386" s="10"/>
      <c r="N386" s="10"/>
      <c r="O386" s="10"/>
    </row>
    <row r="387" spans="2:15">
      <c r="B387" s="30"/>
      <c r="C387" s="30"/>
      <c r="D387" s="11"/>
      <c r="E387" s="11"/>
      <c r="F387" s="11"/>
      <c r="G387" s="10"/>
      <c r="H387" s="10"/>
      <c r="I387" s="10"/>
      <c r="J387" s="10"/>
      <c r="K387" s="10"/>
      <c r="L387" s="12"/>
      <c r="M387" s="10"/>
      <c r="N387" s="10"/>
      <c r="O387" s="10"/>
    </row>
    <row r="388" spans="2:15">
      <c r="B388" s="30"/>
      <c r="C388" s="30"/>
      <c r="D388" s="11"/>
      <c r="E388" s="11"/>
      <c r="F388" s="11"/>
      <c r="G388" s="10"/>
      <c r="H388" s="10"/>
      <c r="I388" s="10"/>
      <c r="J388" s="10"/>
      <c r="K388" s="10"/>
      <c r="L388" s="12"/>
      <c r="M388" s="10"/>
      <c r="N388" s="10"/>
      <c r="O388" s="10"/>
    </row>
    <row r="389" spans="2:15">
      <c r="B389" s="30"/>
      <c r="C389" s="30"/>
      <c r="D389" s="11"/>
      <c r="E389" s="11"/>
      <c r="F389" s="11"/>
      <c r="G389" s="10"/>
      <c r="H389" s="10"/>
      <c r="I389" s="10"/>
      <c r="J389" s="10"/>
      <c r="K389" s="10"/>
      <c r="L389" s="12"/>
      <c r="M389" s="10"/>
      <c r="N389" s="10"/>
      <c r="O389" s="10"/>
    </row>
    <row r="390" spans="2:15">
      <c r="B390" s="30"/>
      <c r="C390" s="30"/>
      <c r="D390" s="11"/>
      <c r="E390" s="11"/>
      <c r="F390" s="11"/>
      <c r="G390" s="10"/>
      <c r="H390" s="10"/>
      <c r="I390" s="10"/>
      <c r="J390" s="10"/>
      <c r="K390" s="10"/>
      <c r="L390" s="12"/>
      <c r="M390" s="10"/>
      <c r="N390" s="10"/>
      <c r="O390" s="10"/>
    </row>
    <row r="391" spans="2:15">
      <c r="B391" s="30"/>
      <c r="C391" s="30"/>
      <c r="D391" s="11"/>
      <c r="E391" s="11"/>
      <c r="F391" s="11"/>
      <c r="G391" s="10"/>
      <c r="H391" s="10"/>
      <c r="I391" s="10"/>
      <c r="J391" s="10"/>
      <c r="K391" s="10"/>
      <c r="L391" s="12"/>
      <c r="M391" s="10"/>
      <c r="N391" s="10"/>
      <c r="O391" s="10"/>
    </row>
    <row r="392" spans="2:15">
      <c r="B392" s="30"/>
      <c r="C392" s="30"/>
      <c r="D392" s="11"/>
      <c r="E392" s="11"/>
      <c r="F392" s="11"/>
      <c r="G392" s="10"/>
      <c r="H392" s="10"/>
      <c r="I392" s="10"/>
      <c r="J392" s="10"/>
      <c r="K392" s="10"/>
      <c r="L392" s="12"/>
      <c r="M392" s="10"/>
      <c r="N392" s="10"/>
      <c r="O392" s="10"/>
    </row>
    <row r="393" spans="2:15">
      <c r="B393" s="30"/>
      <c r="C393" s="30"/>
      <c r="D393" s="11"/>
      <c r="E393" s="11"/>
      <c r="F393" s="11"/>
      <c r="G393" s="10"/>
      <c r="H393" s="10"/>
      <c r="I393" s="10"/>
      <c r="J393" s="10"/>
      <c r="K393" s="10"/>
      <c r="L393" s="12"/>
      <c r="M393" s="10"/>
      <c r="N393" s="10"/>
      <c r="O393" s="10"/>
    </row>
    <row r="394" spans="2:15">
      <c r="B394" s="30"/>
      <c r="C394" s="30"/>
      <c r="D394" s="11"/>
      <c r="E394" s="11"/>
      <c r="F394" s="11"/>
      <c r="G394" s="10"/>
      <c r="H394" s="10"/>
      <c r="I394" s="10"/>
      <c r="J394" s="10"/>
      <c r="K394" s="10"/>
      <c r="L394" s="12"/>
      <c r="M394" s="10"/>
      <c r="N394" s="10"/>
      <c r="O394" s="10"/>
    </row>
    <row r="395" spans="2:15">
      <c r="B395" s="30"/>
      <c r="C395" s="30"/>
      <c r="D395" s="11"/>
      <c r="E395" s="11"/>
      <c r="F395" s="11"/>
      <c r="G395" s="10"/>
      <c r="H395" s="10"/>
      <c r="I395" s="10"/>
      <c r="J395" s="10"/>
      <c r="K395" s="10"/>
      <c r="L395" s="12"/>
      <c r="M395" s="10"/>
      <c r="N395" s="10"/>
      <c r="O395" s="10"/>
    </row>
    <row r="396" spans="2:15">
      <c r="B396" s="30"/>
      <c r="C396" s="30"/>
      <c r="D396" s="11"/>
      <c r="E396" s="11"/>
      <c r="F396" s="11"/>
      <c r="G396" s="10"/>
      <c r="H396" s="10"/>
      <c r="I396" s="10"/>
      <c r="J396" s="10"/>
      <c r="K396" s="10"/>
      <c r="L396" s="12"/>
      <c r="M396" s="10"/>
      <c r="N396" s="10"/>
      <c r="O396" s="10"/>
    </row>
    <row r="397" spans="2:15">
      <c r="B397" s="30"/>
      <c r="C397" s="30"/>
      <c r="D397" s="11"/>
      <c r="E397" s="11"/>
      <c r="F397" s="11"/>
      <c r="G397" s="10"/>
      <c r="H397" s="10"/>
      <c r="I397" s="10"/>
      <c r="J397" s="10"/>
      <c r="K397" s="10"/>
      <c r="L397" s="12"/>
      <c r="M397" s="10"/>
      <c r="N397" s="10"/>
      <c r="O397" s="10"/>
    </row>
    <row r="398" spans="2:15">
      <c r="B398" s="30"/>
      <c r="C398" s="30"/>
      <c r="D398" s="11"/>
      <c r="E398" s="11"/>
      <c r="F398" s="11"/>
      <c r="G398" s="10"/>
      <c r="H398" s="10"/>
      <c r="I398" s="10"/>
      <c r="J398" s="10"/>
      <c r="K398" s="10"/>
      <c r="L398" s="12"/>
      <c r="M398" s="10"/>
      <c r="N398" s="10"/>
      <c r="O398" s="10"/>
    </row>
    <row r="399" spans="2:15">
      <c r="B399" s="30"/>
      <c r="C399" s="30"/>
      <c r="D399" s="11"/>
      <c r="E399" s="11"/>
      <c r="F399" s="11"/>
      <c r="G399" s="10"/>
      <c r="H399" s="10"/>
      <c r="I399" s="10"/>
      <c r="J399" s="10"/>
      <c r="K399" s="10"/>
      <c r="L399" s="12"/>
      <c r="M399" s="10"/>
      <c r="N399" s="10"/>
      <c r="O399" s="10"/>
    </row>
    <row r="400" spans="2:15">
      <c r="B400" s="30"/>
      <c r="C400" s="30"/>
      <c r="D400" s="11"/>
      <c r="E400" s="11"/>
      <c r="F400" s="11"/>
      <c r="G400" s="10"/>
      <c r="H400" s="10"/>
      <c r="I400" s="10"/>
      <c r="J400" s="10"/>
      <c r="K400" s="10"/>
      <c r="L400" s="12"/>
      <c r="M400" s="10"/>
      <c r="N400" s="10"/>
      <c r="O400" s="10"/>
    </row>
    <row r="401" spans="2:15">
      <c r="B401" s="30"/>
      <c r="C401" s="30"/>
      <c r="D401" s="11"/>
      <c r="E401" s="11"/>
      <c r="F401" s="11"/>
      <c r="G401" s="10"/>
      <c r="H401" s="10"/>
      <c r="I401" s="10"/>
      <c r="J401" s="10"/>
      <c r="K401" s="10"/>
      <c r="L401" s="12"/>
      <c r="M401" s="10"/>
      <c r="N401" s="10"/>
      <c r="O401" s="10"/>
    </row>
    <row r="402" spans="2:15">
      <c r="B402" s="30"/>
      <c r="C402" s="30"/>
      <c r="D402" s="11"/>
      <c r="E402" s="11"/>
      <c r="F402" s="11"/>
      <c r="G402" s="10"/>
      <c r="H402" s="10"/>
      <c r="I402" s="10"/>
      <c r="J402" s="10"/>
      <c r="K402" s="10"/>
      <c r="L402" s="12"/>
      <c r="M402" s="10"/>
      <c r="N402" s="10"/>
      <c r="O402" s="10"/>
    </row>
    <row r="403" spans="2:15">
      <c r="B403" s="30"/>
      <c r="C403" s="30"/>
      <c r="D403" s="11"/>
      <c r="E403" s="11"/>
      <c r="F403" s="11"/>
      <c r="G403" s="10"/>
      <c r="H403" s="10"/>
      <c r="I403" s="10"/>
      <c r="J403" s="10"/>
      <c r="K403" s="10"/>
      <c r="L403" s="12"/>
      <c r="M403" s="10"/>
      <c r="N403" s="10"/>
      <c r="O403" s="10"/>
    </row>
    <row r="404" spans="2:15">
      <c r="B404" s="30"/>
      <c r="C404" s="30"/>
      <c r="D404" s="11"/>
      <c r="E404" s="11"/>
      <c r="F404" s="11"/>
      <c r="G404" s="10"/>
      <c r="H404" s="10"/>
      <c r="I404" s="10"/>
      <c r="J404" s="10"/>
      <c r="K404" s="10"/>
      <c r="L404" s="12"/>
      <c r="M404" s="10"/>
      <c r="N404" s="10"/>
      <c r="O404" s="10"/>
    </row>
    <row r="405" spans="2:15">
      <c r="B405" s="30"/>
      <c r="C405" s="30"/>
      <c r="D405" s="11"/>
      <c r="E405" s="11"/>
      <c r="F405" s="11"/>
      <c r="G405" s="10"/>
      <c r="H405" s="10"/>
      <c r="I405" s="10"/>
      <c r="J405" s="10"/>
      <c r="K405" s="10"/>
      <c r="L405" s="12"/>
      <c r="M405" s="10"/>
      <c r="N405" s="10"/>
      <c r="O405" s="10"/>
    </row>
    <row r="406" spans="2:15">
      <c r="B406" s="30"/>
      <c r="C406" s="30"/>
      <c r="D406" s="11"/>
      <c r="E406" s="11"/>
      <c r="F406" s="11"/>
      <c r="G406" s="10"/>
      <c r="H406" s="10"/>
      <c r="I406" s="10"/>
      <c r="J406" s="10"/>
      <c r="K406" s="10"/>
      <c r="L406" s="12"/>
      <c r="M406" s="10"/>
      <c r="N406" s="10"/>
      <c r="O406" s="10"/>
    </row>
    <row r="407" spans="2:15">
      <c r="B407" s="30"/>
      <c r="C407" s="30"/>
      <c r="D407" s="11"/>
      <c r="E407" s="11"/>
      <c r="F407" s="11"/>
      <c r="G407" s="10"/>
      <c r="H407" s="10"/>
      <c r="I407" s="10"/>
      <c r="J407" s="10"/>
      <c r="K407" s="10"/>
      <c r="L407" s="12"/>
      <c r="M407" s="10"/>
      <c r="N407" s="10"/>
      <c r="O407" s="10"/>
    </row>
    <row r="408" spans="2:15">
      <c r="B408" s="30"/>
      <c r="C408" s="30"/>
      <c r="D408" s="11"/>
      <c r="E408" s="11"/>
      <c r="F408" s="11"/>
      <c r="G408" s="10"/>
      <c r="H408" s="10"/>
      <c r="I408" s="10"/>
      <c r="J408" s="10"/>
      <c r="K408" s="10"/>
      <c r="L408" s="12"/>
      <c r="M408" s="10"/>
      <c r="N408" s="10"/>
      <c r="O408" s="10"/>
    </row>
    <row r="409" spans="2:15">
      <c r="B409" s="30"/>
      <c r="C409" s="30"/>
      <c r="D409" s="11"/>
      <c r="E409" s="11"/>
      <c r="F409" s="11"/>
      <c r="G409" s="10"/>
      <c r="H409" s="10"/>
      <c r="I409" s="10"/>
      <c r="J409" s="10"/>
      <c r="K409" s="10"/>
      <c r="L409" s="12"/>
      <c r="M409" s="10"/>
      <c r="N409" s="10"/>
      <c r="O409" s="10"/>
    </row>
    <row r="410" spans="2:15">
      <c r="B410" s="30"/>
      <c r="C410" s="30"/>
      <c r="D410" s="11"/>
      <c r="E410" s="11"/>
      <c r="F410" s="11"/>
      <c r="G410" s="10"/>
      <c r="H410" s="10"/>
      <c r="I410" s="10"/>
      <c r="J410" s="10"/>
      <c r="K410" s="10"/>
      <c r="L410" s="12"/>
      <c r="M410" s="10"/>
      <c r="N410" s="10"/>
      <c r="O410" s="10"/>
    </row>
    <row r="411" spans="2:15">
      <c r="B411" s="30"/>
      <c r="C411" s="30"/>
      <c r="D411" s="11"/>
      <c r="E411" s="11"/>
      <c r="F411" s="11"/>
      <c r="G411" s="10"/>
      <c r="H411" s="10"/>
      <c r="I411" s="10"/>
      <c r="J411" s="10"/>
      <c r="K411" s="10"/>
      <c r="L411" s="12"/>
      <c r="M411" s="10"/>
      <c r="N411" s="10"/>
      <c r="O411" s="10"/>
    </row>
    <row r="412" spans="2:15">
      <c r="B412" s="30"/>
      <c r="C412" s="30"/>
      <c r="D412" s="11"/>
      <c r="E412" s="11"/>
      <c r="F412" s="11"/>
      <c r="G412" s="10"/>
      <c r="H412" s="10"/>
      <c r="I412" s="10"/>
      <c r="J412" s="10"/>
      <c r="K412" s="10"/>
      <c r="L412" s="12"/>
      <c r="M412" s="10"/>
      <c r="N412" s="10"/>
      <c r="O412" s="10"/>
    </row>
    <row r="413" spans="2:15">
      <c r="B413" s="30"/>
      <c r="C413" s="30"/>
      <c r="D413" s="11"/>
      <c r="E413" s="11"/>
      <c r="F413" s="11"/>
      <c r="G413" s="10"/>
      <c r="H413" s="10"/>
      <c r="I413" s="10"/>
      <c r="J413" s="10"/>
      <c r="K413" s="10"/>
      <c r="L413" s="12"/>
      <c r="M413" s="10"/>
      <c r="N413" s="10"/>
      <c r="O413" s="10"/>
    </row>
    <row r="414" spans="2:15">
      <c r="B414" s="30"/>
      <c r="C414" s="30"/>
      <c r="D414" s="11"/>
      <c r="E414" s="11"/>
      <c r="F414" s="11"/>
      <c r="G414" s="10"/>
      <c r="H414" s="10"/>
      <c r="I414" s="10"/>
      <c r="J414" s="10"/>
      <c r="K414" s="10"/>
      <c r="L414" s="12"/>
      <c r="M414" s="10"/>
      <c r="N414" s="10"/>
      <c r="O414" s="10"/>
    </row>
    <row r="415" spans="2:15">
      <c r="B415" s="30"/>
      <c r="C415" s="30"/>
      <c r="D415" s="11"/>
      <c r="E415" s="11"/>
      <c r="F415" s="11"/>
      <c r="G415" s="10"/>
      <c r="H415" s="10"/>
      <c r="I415" s="10"/>
      <c r="J415" s="10"/>
      <c r="K415" s="10"/>
      <c r="L415" s="12"/>
      <c r="M415" s="10"/>
      <c r="N415" s="10"/>
      <c r="O415" s="10"/>
    </row>
    <row r="416" spans="2:15">
      <c r="B416" s="30"/>
      <c r="C416" s="30"/>
      <c r="D416" s="11"/>
      <c r="E416" s="11"/>
      <c r="F416" s="11"/>
      <c r="G416" s="10"/>
      <c r="H416" s="10"/>
      <c r="I416" s="10"/>
      <c r="J416" s="10"/>
      <c r="K416" s="10"/>
      <c r="L416" s="12"/>
      <c r="M416" s="10"/>
      <c r="N416" s="10"/>
      <c r="O416" s="10"/>
    </row>
    <row r="417" spans="2:15">
      <c r="B417" s="30"/>
      <c r="C417" s="30"/>
      <c r="D417" s="11"/>
      <c r="E417" s="11"/>
      <c r="F417" s="11"/>
      <c r="G417" s="10"/>
      <c r="H417" s="10"/>
      <c r="I417" s="10"/>
      <c r="J417" s="10"/>
      <c r="K417" s="10"/>
      <c r="L417" s="12"/>
      <c r="M417" s="10"/>
      <c r="N417" s="10"/>
      <c r="O417" s="10"/>
    </row>
    <row r="418" spans="2:15">
      <c r="B418" s="30"/>
      <c r="C418" s="30"/>
      <c r="D418" s="11"/>
      <c r="E418" s="11"/>
      <c r="F418" s="11"/>
      <c r="G418" s="10"/>
      <c r="H418" s="10"/>
      <c r="I418" s="10"/>
      <c r="J418" s="10"/>
      <c r="K418" s="10"/>
      <c r="L418" s="12"/>
      <c r="M418" s="10"/>
      <c r="N418" s="10"/>
      <c r="O418" s="10"/>
    </row>
    <row r="419" spans="2:15">
      <c r="B419" s="30"/>
      <c r="C419" s="30"/>
      <c r="D419" s="11"/>
      <c r="E419" s="11"/>
      <c r="F419" s="11"/>
      <c r="G419" s="10"/>
      <c r="H419" s="10"/>
      <c r="I419" s="10"/>
      <c r="J419" s="10"/>
      <c r="K419" s="10"/>
      <c r="L419" s="12"/>
      <c r="M419" s="10"/>
      <c r="N419" s="10"/>
      <c r="O419" s="10"/>
    </row>
    <row r="420" spans="2:15">
      <c r="B420" s="30"/>
      <c r="C420" s="30"/>
      <c r="D420" s="11"/>
      <c r="E420" s="11"/>
      <c r="F420" s="11"/>
      <c r="G420" s="10"/>
      <c r="H420" s="10"/>
      <c r="I420" s="10"/>
      <c r="J420" s="10"/>
      <c r="K420" s="10"/>
      <c r="L420" s="12"/>
      <c r="M420" s="10"/>
      <c r="N420" s="10"/>
      <c r="O420" s="10"/>
    </row>
    <row r="421" spans="2:15">
      <c r="B421" s="30"/>
      <c r="C421" s="30"/>
      <c r="D421" s="11"/>
      <c r="E421" s="11"/>
      <c r="F421" s="11"/>
      <c r="G421" s="10"/>
      <c r="H421" s="10"/>
      <c r="I421" s="10"/>
      <c r="J421" s="10"/>
      <c r="K421" s="10"/>
      <c r="L421" s="12"/>
      <c r="M421" s="10"/>
      <c r="N421" s="10"/>
      <c r="O421" s="10"/>
    </row>
    <row r="422" spans="2:15">
      <c r="B422" s="30"/>
      <c r="C422" s="30"/>
      <c r="D422" s="11"/>
      <c r="E422" s="11"/>
      <c r="F422" s="11"/>
      <c r="G422" s="10"/>
      <c r="H422" s="10"/>
      <c r="I422" s="10"/>
      <c r="J422" s="10"/>
      <c r="K422" s="10"/>
      <c r="L422" s="12"/>
      <c r="M422" s="10"/>
      <c r="N422" s="10"/>
      <c r="O422" s="10"/>
    </row>
    <row r="423" spans="2:15">
      <c r="B423" s="30"/>
      <c r="C423" s="30"/>
      <c r="D423" s="11"/>
      <c r="E423" s="11"/>
      <c r="F423" s="11"/>
      <c r="G423" s="10"/>
      <c r="H423" s="10"/>
      <c r="I423" s="10"/>
      <c r="J423" s="10"/>
      <c r="K423" s="10"/>
      <c r="L423" s="12"/>
      <c r="M423" s="10"/>
      <c r="N423" s="10"/>
      <c r="O423" s="10"/>
    </row>
    <row r="424" spans="2:15">
      <c r="B424" s="30"/>
      <c r="C424" s="30"/>
      <c r="D424" s="11"/>
      <c r="E424" s="11"/>
      <c r="F424" s="11"/>
      <c r="G424" s="10"/>
      <c r="H424" s="10"/>
      <c r="I424" s="10"/>
      <c r="J424" s="10"/>
      <c r="K424" s="10"/>
      <c r="L424" s="12"/>
      <c r="M424" s="10"/>
      <c r="N424" s="10"/>
      <c r="O424" s="10"/>
    </row>
    <row r="425" spans="2:15">
      <c r="B425" s="30"/>
      <c r="C425" s="30"/>
      <c r="D425" s="11"/>
      <c r="E425" s="11"/>
      <c r="F425" s="11"/>
      <c r="G425" s="10"/>
      <c r="H425" s="10"/>
      <c r="I425" s="10"/>
      <c r="J425" s="10"/>
      <c r="K425" s="10"/>
      <c r="L425" s="12"/>
      <c r="M425" s="10"/>
      <c r="N425" s="10"/>
      <c r="O425" s="10"/>
    </row>
    <row r="426" spans="2:15">
      <c r="B426" s="30"/>
      <c r="C426" s="30"/>
      <c r="D426" s="11"/>
      <c r="E426" s="11"/>
      <c r="F426" s="11"/>
      <c r="G426" s="10"/>
      <c r="H426" s="10"/>
      <c r="I426" s="10"/>
      <c r="J426" s="10"/>
      <c r="K426" s="10"/>
      <c r="L426" s="12"/>
      <c r="M426" s="10"/>
      <c r="N426" s="10"/>
      <c r="O426" s="10"/>
    </row>
    <row r="427" spans="2:15">
      <c r="B427" s="30"/>
      <c r="C427" s="30"/>
      <c r="D427" s="11"/>
      <c r="E427" s="11"/>
      <c r="F427" s="11"/>
      <c r="G427" s="10"/>
      <c r="H427" s="10"/>
      <c r="I427" s="10"/>
      <c r="J427" s="10"/>
      <c r="K427" s="10"/>
      <c r="L427" s="12"/>
      <c r="M427" s="10"/>
      <c r="N427" s="10"/>
      <c r="O427" s="10"/>
    </row>
    <row r="428" spans="2:15">
      <c r="B428" s="30"/>
      <c r="C428" s="30"/>
      <c r="D428" s="11"/>
      <c r="E428" s="11"/>
      <c r="F428" s="11"/>
      <c r="G428" s="10"/>
      <c r="H428" s="10"/>
      <c r="I428" s="10"/>
      <c r="J428" s="10"/>
      <c r="K428" s="10"/>
      <c r="L428" s="12"/>
      <c r="M428" s="10"/>
      <c r="N428" s="10"/>
      <c r="O428" s="10"/>
    </row>
    <row r="429" spans="2:15">
      <c r="B429" s="30"/>
      <c r="C429" s="30"/>
      <c r="D429" s="11"/>
      <c r="E429" s="11"/>
      <c r="F429" s="11"/>
      <c r="G429" s="10"/>
      <c r="H429" s="10"/>
      <c r="I429" s="10"/>
      <c r="J429" s="10"/>
      <c r="K429" s="10"/>
      <c r="L429" s="12"/>
      <c r="M429" s="10"/>
      <c r="N429" s="10"/>
      <c r="O429" s="10"/>
    </row>
    <row r="430" spans="2:15">
      <c r="B430" s="30"/>
      <c r="C430" s="30"/>
      <c r="D430" s="11"/>
      <c r="E430" s="11"/>
      <c r="F430" s="11"/>
      <c r="G430" s="10"/>
      <c r="H430" s="10"/>
      <c r="I430" s="10"/>
      <c r="J430" s="10"/>
      <c r="K430" s="10"/>
      <c r="L430" s="12"/>
      <c r="M430" s="10"/>
      <c r="N430" s="10"/>
      <c r="O430" s="10"/>
    </row>
    <row r="431" spans="2:15">
      <c r="B431" s="30"/>
      <c r="C431" s="30"/>
      <c r="D431" s="11"/>
      <c r="E431" s="11"/>
      <c r="F431" s="11"/>
      <c r="G431" s="10"/>
      <c r="H431" s="10"/>
      <c r="I431" s="10"/>
      <c r="J431" s="10"/>
      <c r="K431" s="10"/>
      <c r="L431" s="12"/>
      <c r="M431" s="10"/>
      <c r="N431" s="10"/>
      <c r="O431" s="10"/>
    </row>
    <row r="432" spans="2:15">
      <c r="B432" s="30"/>
      <c r="C432" s="30"/>
      <c r="D432" s="11"/>
      <c r="E432" s="11"/>
      <c r="F432" s="11"/>
      <c r="G432" s="10"/>
      <c r="H432" s="10"/>
      <c r="I432" s="10"/>
      <c r="J432" s="10"/>
      <c r="K432" s="10"/>
      <c r="L432" s="12"/>
      <c r="M432" s="10"/>
      <c r="N432" s="10"/>
      <c r="O432" s="10"/>
    </row>
    <row r="433" spans="2:15">
      <c r="B433" s="30"/>
      <c r="C433" s="30"/>
      <c r="D433" s="11"/>
      <c r="E433" s="11"/>
      <c r="F433" s="11"/>
      <c r="G433" s="10"/>
      <c r="H433" s="10"/>
      <c r="I433" s="10"/>
      <c r="J433" s="10"/>
      <c r="K433" s="10"/>
      <c r="L433" s="12"/>
      <c r="M433" s="10"/>
      <c r="N433" s="10"/>
      <c r="O433" s="10"/>
    </row>
    <row r="434" spans="2:15">
      <c r="B434" s="30"/>
      <c r="C434" s="30"/>
      <c r="D434" s="11"/>
      <c r="E434" s="11"/>
      <c r="F434" s="11"/>
      <c r="G434" s="10"/>
      <c r="H434" s="10"/>
      <c r="I434" s="10"/>
      <c r="J434" s="10"/>
      <c r="K434" s="10"/>
      <c r="L434" s="12"/>
      <c r="M434" s="10"/>
      <c r="N434" s="10"/>
      <c r="O434" s="10"/>
    </row>
    <row r="435" spans="2:15">
      <c r="B435" s="30"/>
      <c r="C435" s="30"/>
      <c r="D435" s="11"/>
      <c r="E435" s="11"/>
      <c r="F435" s="11"/>
      <c r="G435" s="10"/>
      <c r="H435" s="10"/>
      <c r="I435" s="10"/>
      <c r="J435" s="10"/>
      <c r="K435" s="10"/>
      <c r="L435" s="12"/>
      <c r="M435" s="10"/>
      <c r="N435" s="10"/>
      <c r="O435" s="10"/>
    </row>
    <row r="436" spans="2:15">
      <c r="B436" s="30"/>
      <c r="C436" s="30"/>
      <c r="D436" s="11"/>
      <c r="E436" s="11"/>
      <c r="F436" s="11"/>
      <c r="G436" s="10"/>
      <c r="H436" s="10"/>
      <c r="I436" s="10"/>
      <c r="J436" s="10"/>
      <c r="K436" s="10"/>
      <c r="L436" s="12"/>
      <c r="M436" s="10"/>
      <c r="N436" s="10"/>
      <c r="O436" s="10"/>
    </row>
    <row r="437" spans="2:15">
      <c r="B437" s="30"/>
      <c r="C437" s="30"/>
      <c r="D437" s="11"/>
      <c r="E437" s="11"/>
      <c r="F437" s="11"/>
      <c r="G437" s="10"/>
      <c r="H437" s="10"/>
      <c r="I437" s="10"/>
      <c r="J437" s="10"/>
      <c r="K437" s="10"/>
      <c r="L437" s="12"/>
      <c r="M437" s="10"/>
      <c r="N437" s="10"/>
      <c r="O437" s="10"/>
    </row>
    <row r="438" spans="2:15">
      <c r="B438" s="30"/>
      <c r="C438" s="30"/>
      <c r="D438" s="11"/>
      <c r="E438" s="11"/>
      <c r="F438" s="11"/>
      <c r="G438" s="10"/>
      <c r="H438" s="10"/>
      <c r="I438" s="10"/>
      <c r="J438" s="10"/>
      <c r="K438" s="10"/>
      <c r="L438" s="12"/>
      <c r="M438" s="10"/>
      <c r="N438" s="10"/>
      <c r="O438" s="10"/>
    </row>
    <row r="439" spans="2:15">
      <c r="B439" s="30"/>
      <c r="C439" s="30"/>
      <c r="D439" s="11"/>
      <c r="E439" s="11"/>
      <c r="F439" s="11"/>
      <c r="G439" s="10"/>
      <c r="H439" s="10"/>
      <c r="I439" s="10"/>
      <c r="J439" s="10"/>
      <c r="K439" s="10"/>
      <c r="L439" s="12"/>
      <c r="M439" s="10"/>
      <c r="N439" s="10"/>
      <c r="O439" s="10"/>
    </row>
    <row r="440" spans="2:15">
      <c r="B440" s="30"/>
      <c r="C440" s="30"/>
      <c r="D440" s="11"/>
      <c r="E440" s="11"/>
      <c r="F440" s="11"/>
      <c r="G440" s="10"/>
      <c r="H440" s="10"/>
      <c r="I440" s="10"/>
      <c r="J440" s="10"/>
      <c r="K440" s="10"/>
      <c r="L440" s="12"/>
      <c r="M440" s="10"/>
      <c r="N440" s="10"/>
      <c r="O440" s="10"/>
    </row>
    <row r="441" spans="2:15">
      <c r="B441" s="30"/>
      <c r="C441" s="30"/>
      <c r="D441" s="11"/>
      <c r="E441" s="11"/>
      <c r="F441" s="11"/>
      <c r="G441" s="10"/>
      <c r="H441" s="10"/>
      <c r="I441" s="10"/>
      <c r="J441" s="10"/>
      <c r="K441" s="10"/>
      <c r="L441" s="12"/>
      <c r="M441" s="10"/>
      <c r="N441" s="10"/>
      <c r="O441" s="10"/>
    </row>
    <row r="442" spans="2:15">
      <c r="B442" s="30"/>
      <c r="C442" s="30"/>
      <c r="D442" s="11"/>
      <c r="E442" s="11"/>
      <c r="F442" s="11"/>
      <c r="G442" s="10"/>
      <c r="H442" s="10"/>
      <c r="I442" s="10"/>
      <c r="J442" s="10"/>
      <c r="K442" s="10"/>
      <c r="L442" s="12"/>
      <c r="M442" s="10"/>
      <c r="N442" s="10"/>
      <c r="O442" s="10"/>
    </row>
    <row r="443" spans="2:15">
      <c r="B443" s="30"/>
      <c r="C443" s="30"/>
      <c r="D443" s="11"/>
      <c r="E443" s="11"/>
      <c r="F443" s="11"/>
      <c r="G443" s="10"/>
      <c r="H443" s="10"/>
      <c r="I443" s="10"/>
      <c r="J443" s="10"/>
      <c r="K443" s="10"/>
      <c r="L443" s="12"/>
      <c r="M443" s="10"/>
      <c r="N443" s="10"/>
      <c r="O443" s="10"/>
    </row>
    <row r="444" spans="2:15">
      <c r="B444" s="30"/>
      <c r="C444" s="30"/>
      <c r="D444" s="11"/>
      <c r="E444" s="11"/>
      <c r="F444" s="11"/>
      <c r="G444" s="10"/>
      <c r="H444" s="10"/>
      <c r="I444" s="10"/>
      <c r="J444" s="10"/>
      <c r="K444" s="10"/>
      <c r="L444" s="12"/>
      <c r="M444" s="10"/>
      <c r="N444" s="10"/>
      <c r="O444" s="10"/>
    </row>
    <row r="445" spans="2:15">
      <c r="B445" s="30"/>
      <c r="C445" s="30"/>
      <c r="D445" s="11"/>
      <c r="E445" s="11"/>
      <c r="F445" s="11"/>
      <c r="G445" s="10"/>
      <c r="H445" s="10"/>
      <c r="I445" s="10"/>
      <c r="J445" s="10"/>
      <c r="K445" s="10"/>
      <c r="L445" s="12"/>
      <c r="M445" s="10"/>
      <c r="N445" s="10"/>
      <c r="O445" s="10"/>
    </row>
    <row r="446" spans="2:15">
      <c r="B446" s="30"/>
      <c r="C446" s="30"/>
      <c r="D446" s="11"/>
      <c r="E446" s="11"/>
      <c r="F446" s="11"/>
      <c r="G446" s="10"/>
      <c r="H446" s="10"/>
      <c r="I446" s="10"/>
      <c r="J446" s="10"/>
      <c r="K446" s="10"/>
      <c r="L446" s="12"/>
      <c r="M446" s="10"/>
      <c r="N446" s="10"/>
      <c r="O446" s="10"/>
    </row>
    <row r="447" spans="2:15">
      <c r="B447" s="30"/>
      <c r="C447" s="30"/>
      <c r="D447" s="11"/>
      <c r="E447" s="11"/>
      <c r="F447" s="11"/>
      <c r="G447" s="10"/>
      <c r="H447" s="10"/>
      <c r="I447" s="10"/>
      <c r="J447" s="10"/>
      <c r="K447" s="10"/>
      <c r="L447" s="12"/>
      <c r="M447" s="10"/>
      <c r="N447" s="10"/>
      <c r="O447" s="10"/>
    </row>
    <row r="448" spans="2:15">
      <c r="B448" s="30"/>
      <c r="C448" s="30"/>
      <c r="D448" s="11"/>
      <c r="E448" s="11"/>
      <c r="F448" s="11"/>
      <c r="G448" s="10"/>
      <c r="H448" s="10"/>
      <c r="I448" s="10"/>
      <c r="J448" s="10"/>
      <c r="K448" s="10"/>
      <c r="L448" s="12"/>
      <c r="M448" s="10"/>
      <c r="N448" s="10"/>
      <c r="O448" s="10"/>
    </row>
    <row r="449" spans="2:15">
      <c r="B449" s="30"/>
      <c r="C449" s="30"/>
      <c r="D449" s="11"/>
      <c r="E449" s="11"/>
      <c r="F449" s="11"/>
      <c r="G449" s="10"/>
      <c r="H449" s="10"/>
      <c r="I449" s="10"/>
      <c r="J449" s="10"/>
      <c r="K449" s="10"/>
      <c r="L449" s="12"/>
      <c r="M449" s="10"/>
      <c r="N449" s="10"/>
      <c r="O449" s="10"/>
    </row>
    <row r="450" spans="2:15">
      <c r="B450" s="30"/>
      <c r="C450" s="30"/>
      <c r="D450" s="11"/>
      <c r="E450" s="11"/>
      <c r="F450" s="11"/>
      <c r="G450" s="10"/>
      <c r="H450" s="10"/>
      <c r="I450" s="10"/>
      <c r="J450" s="10"/>
      <c r="K450" s="10"/>
      <c r="L450" s="12"/>
      <c r="M450" s="10"/>
      <c r="N450" s="10"/>
      <c r="O450" s="10"/>
    </row>
    <row r="451" spans="2:15">
      <c r="B451" s="30"/>
      <c r="C451" s="30"/>
      <c r="D451" s="11"/>
      <c r="E451" s="11"/>
      <c r="F451" s="11"/>
      <c r="G451" s="10"/>
      <c r="H451" s="10"/>
      <c r="I451" s="10"/>
      <c r="J451" s="10"/>
      <c r="K451" s="10"/>
      <c r="L451" s="12"/>
      <c r="M451" s="10"/>
      <c r="N451" s="10"/>
      <c r="O451" s="10"/>
    </row>
    <row r="452" spans="2:15">
      <c r="B452" s="30"/>
      <c r="C452" s="30"/>
      <c r="D452" s="11"/>
      <c r="E452" s="11"/>
      <c r="F452" s="11"/>
      <c r="G452" s="10"/>
      <c r="H452" s="10"/>
      <c r="I452" s="10"/>
      <c r="J452" s="10"/>
      <c r="K452" s="10"/>
      <c r="L452" s="12"/>
      <c r="M452" s="10"/>
      <c r="N452" s="10"/>
      <c r="O452" s="10"/>
    </row>
    <row r="453" spans="2:15">
      <c r="B453" s="30"/>
      <c r="C453" s="30"/>
      <c r="D453" s="11"/>
      <c r="E453" s="11"/>
      <c r="F453" s="11"/>
      <c r="G453" s="10"/>
      <c r="H453" s="10"/>
      <c r="I453" s="10"/>
      <c r="J453" s="10"/>
      <c r="K453" s="10"/>
      <c r="L453" s="12"/>
      <c r="M453" s="10"/>
      <c r="N453" s="10"/>
      <c r="O453" s="10"/>
    </row>
    <row r="454" spans="2:15">
      <c r="B454" s="30"/>
      <c r="C454" s="30"/>
      <c r="D454" s="11"/>
      <c r="E454" s="11"/>
      <c r="F454" s="11"/>
      <c r="G454" s="10"/>
      <c r="H454" s="10"/>
      <c r="I454" s="10"/>
      <c r="J454" s="10"/>
      <c r="K454" s="10"/>
      <c r="L454" s="12"/>
      <c r="M454" s="10"/>
      <c r="N454" s="10"/>
      <c r="O454" s="10"/>
    </row>
    <row r="455" spans="2:15">
      <c r="B455" s="30"/>
      <c r="C455" s="30"/>
      <c r="D455" s="11"/>
      <c r="E455" s="11"/>
      <c r="F455" s="11"/>
      <c r="G455" s="10"/>
      <c r="H455" s="10"/>
      <c r="I455" s="10"/>
      <c r="J455" s="10"/>
      <c r="K455" s="10"/>
      <c r="L455" s="12"/>
      <c r="M455" s="10"/>
      <c r="N455" s="10"/>
      <c r="O455" s="10"/>
    </row>
    <row r="456" spans="2:15">
      <c r="B456" s="30"/>
      <c r="C456" s="30"/>
      <c r="D456" s="11"/>
      <c r="E456" s="11"/>
      <c r="F456" s="11"/>
      <c r="G456" s="10"/>
      <c r="H456" s="10"/>
      <c r="I456" s="10"/>
      <c r="J456" s="10"/>
      <c r="K456" s="10"/>
      <c r="L456" s="12"/>
      <c r="M456" s="10"/>
      <c r="N456" s="10"/>
      <c r="O456" s="10"/>
    </row>
    <row r="457" spans="2:15">
      <c r="B457" s="30"/>
      <c r="C457" s="30"/>
      <c r="D457" s="11"/>
      <c r="E457" s="11"/>
      <c r="F457" s="11"/>
      <c r="G457" s="10"/>
      <c r="H457" s="10"/>
      <c r="I457" s="10"/>
      <c r="J457" s="10"/>
      <c r="K457" s="10"/>
      <c r="L457" s="12"/>
      <c r="M457" s="10"/>
      <c r="N457" s="10"/>
      <c r="O457" s="10"/>
    </row>
    <row r="458" spans="2:15">
      <c r="B458" s="30"/>
      <c r="C458" s="30"/>
      <c r="D458" s="11"/>
      <c r="E458" s="11"/>
      <c r="F458" s="11"/>
      <c r="G458" s="10"/>
      <c r="H458" s="10"/>
      <c r="I458" s="10"/>
      <c r="J458" s="10"/>
      <c r="K458" s="10"/>
      <c r="L458" s="12"/>
      <c r="M458" s="10"/>
      <c r="N458" s="10"/>
      <c r="O458" s="10"/>
    </row>
  </sheetData>
  <mergeCells count="29">
    <mergeCell ref="B2:O2"/>
    <mergeCell ref="B3:O3"/>
    <mergeCell ref="A5:E5"/>
    <mergeCell ref="A6:E6"/>
    <mergeCell ref="A13:A15"/>
    <mergeCell ref="K14:K15"/>
    <mergeCell ref="L14:M14"/>
    <mergeCell ref="F14:G14"/>
    <mergeCell ref="B13:B15"/>
    <mergeCell ref="C13:C15"/>
    <mergeCell ref="D13:M13"/>
    <mergeCell ref="D14:D15"/>
    <mergeCell ref="E14:E15"/>
    <mergeCell ref="H14:H15"/>
    <mergeCell ref="A7:E7"/>
    <mergeCell ref="A8:E8"/>
    <mergeCell ref="A9:E9"/>
    <mergeCell ref="A10:E10"/>
    <mergeCell ref="A11:E11"/>
    <mergeCell ref="I14:J14"/>
    <mergeCell ref="O13:O14"/>
    <mergeCell ref="F10:O10"/>
    <mergeCell ref="F11:O11"/>
    <mergeCell ref="N13:N15"/>
    <mergeCell ref="F5:O5"/>
    <mergeCell ref="F6:O6"/>
    <mergeCell ref="F7:O7"/>
    <mergeCell ref="F8:O8"/>
    <mergeCell ref="F9:O9"/>
  </mergeCells>
  <pageMargins left="7.874015748031496E-2" right="7.874015748031496E-2" top="0.74803149606299213" bottom="0.11811023622047245" header="0.31496062992125984" footer="0.31496062992125984"/>
  <pageSetup paperSize="9" scale="6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кор от 26.09.12</vt:lpstr>
      <vt:lpstr>'кор от 26.09.12'!Заголовки_для_печати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2012-10-03T07:55:31Z</dcterms:modified>
</cp:coreProperties>
</file>